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tente\Documents\Archivio_PC\PROGRAMMAZIONE_2014-2020\MONITORAGGIO_UNITARIO\STATO_ATTUAZIONE_30.09.2025\"/>
    </mc:Choice>
  </mc:AlternateContent>
  <xr:revisionPtr revIDLastSave="0" documentId="13_ncr:1_{E8B31410-773B-42B4-8434-761ECD62ECBF}" xr6:coauthVersionLast="47" xr6:coauthVersionMax="47" xr10:uidLastSave="{00000000-0000-0000-0000-000000000000}"/>
  <bookViews>
    <workbookView xWindow="-120" yWindow="-120" windowWidth="20730" windowHeight="11160" tabRatio="866" activeTab="1" xr2:uid="{00000000-000D-0000-FFFF-FFFF00000000}"/>
  </bookViews>
  <sheets>
    <sheet name="Copertina" sheetId="30" r:id="rId1"/>
    <sheet name="Avanzamento_ SP_totale" sheetId="11" r:id="rId2"/>
    <sheet name="Avanzamento_ SP_FEASR" sheetId="84" r:id="rId3"/>
    <sheet name="AVANZAMENTO EURI" sheetId="100" r:id="rId4"/>
    <sheet name="AVANZAMENTO TOP UP" sheetId="101" r:id="rId5"/>
    <sheet name="Impegni PROGR 2014-2022" sheetId="36" r:id="rId6"/>
    <sheet name="Procedurale" sheetId="99" r:id="rId7"/>
    <sheet name="Procedurale bandi GAL" sheetId="41" r:id="rId8"/>
    <sheet name="N+3" sheetId="87" r:id="rId9"/>
    <sheet name=" M01-M02" sheetId="14" r:id="rId10"/>
    <sheet name="M03" sheetId="16" r:id="rId11"/>
    <sheet name="PIF-MANIFESTAZIONI-DI INTERESSE" sheetId="102" r:id="rId12"/>
    <sheet name="M04" sheetId="17" r:id="rId13"/>
    <sheet name="M05" sheetId="18" r:id="rId14"/>
    <sheet name="M06" sheetId="19" r:id="rId15"/>
    <sheet name="M07" sheetId="20" r:id="rId16"/>
    <sheet name="M8_1" sheetId="103" r:id="rId17"/>
    <sheet name="M8.3-8.6" sheetId="21" r:id="rId18"/>
    <sheet name="M09" sheetId="22" r:id="rId19"/>
    <sheet name="M10.1 FEASR+EURI" sheetId="104" r:id="rId20"/>
    <sheet name="Dett. 10.1 FEASR+EURI+TOP UP" sheetId="105" r:id="rId21"/>
    <sheet name="M10.2" sheetId="42" r:id="rId22"/>
    <sheet name="M11" sheetId="106" r:id="rId23"/>
    <sheet name="Dettaglio M11 x bando" sheetId="107" r:id="rId24"/>
    <sheet name="M13" sheetId="108" r:id="rId25"/>
    <sheet name="M14" sheetId="109" r:id="rId26"/>
    <sheet name="M15" sheetId="110" r:id="rId27"/>
    <sheet name="M16" sheetId="23" r:id="rId28"/>
    <sheet name="M19" sheetId="24" r:id="rId29"/>
    <sheet name="M21" sheetId="43" r:id="rId30"/>
    <sheet name="Focus M19" sheetId="88" r:id="rId31"/>
    <sheet name="Focus M19.2" sheetId="89" r:id="rId32"/>
    <sheet name="GAL ANGLONA ROMANGIA" sheetId="46" r:id="rId33"/>
    <sheet name="GAL BARBAGIA_GAL BARIGADU" sheetId="26" r:id="rId34"/>
    <sheet name="GAL CAMPIDANO_GAL BMG" sheetId="44" r:id="rId35"/>
    <sheet name="GAL GALLURA_GAL LINAS" sheetId="27" r:id="rId36"/>
    <sheet name="GAL LOGUDORO_GAL MARGHINE" sheetId="54" r:id="rId37"/>
    <sheet name="GAL MARMILLA_GAL NUORESE B." sheetId="35" r:id="rId38"/>
    <sheet name="GAL OGLIASTRA_GAL SARCIDANO" sheetId="29" r:id="rId39"/>
    <sheet name="GAL SGT_GAL SINIS" sheetId="25" r:id="rId40"/>
    <sheet name="GAL SULCIS_GAL TERRAS DE OLIA" sheetId="39" r:id="rId41"/>
  </sheets>
  <definedNames>
    <definedName name="_xlnm._FilterDatabase" localSheetId="2" hidden="1">'Avanzamento_ SP_FEASR'!$A$4:$N$61</definedName>
    <definedName name="_xlnm._FilterDatabase" localSheetId="1" hidden="1">'Avanzamento_ SP_totale'!$A$5:$T$65</definedName>
    <definedName name="_xlnm._FilterDatabase" localSheetId="5" hidden="1">'Impegni PROGR 2014-2022'!$A$3:$JS$59</definedName>
    <definedName name="_xlnm._FilterDatabase" localSheetId="7" hidden="1">'Procedurale bandi GAL'!$A$2:$G$229</definedName>
    <definedName name="_xlnm.Print_Area" localSheetId="9">' M01-M02'!$A$1:$AA$19</definedName>
    <definedName name="_xlnm.Print_Area" localSheetId="3">'AVANZAMENTO EURI'!$A$1:$I$11</definedName>
    <definedName name="_xlnm.Print_Area" localSheetId="4">'AVANZAMENTO TOP UP'!$A$1:$I$19</definedName>
    <definedName name="_xlnm.Print_Area" localSheetId="2">'Avanzamento_ SP_FEASR'!$A$1:$L$61</definedName>
    <definedName name="_xlnm.Print_Area" localSheetId="1">'Avanzamento_ SP_totale'!$A$1:$T$65</definedName>
    <definedName name="_xlnm.Print_Area" localSheetId="0">Copertina!$A$1:$I$29</definedName>
    <definedName name="_xlnm.Print_Area" localSheetId="20">'Dett. 10.1 FEASR+EURI+TOP UP'!$A$1:$O$59</definedName>
    <definedName name="_xlnm.Print_Area" localSheetId="23">'Dettaglio M11 x bando'!$A$1:$M$45</definedName>
    <definedName name="_xlnm.Print_Area" localSheetId="31">'Focus M19.2'!$A$1:$K$23</definedName>
    <definedName name="_xlnm.Print_Area" localSheetId="32">'GAL ANGLONA ROMANGIA'!$A$1:$U$15</definedName>
    <definedName name="_xlnm.Print_Area" localSheetId="33">'GAL BARBAGIA_GAL BARIGADU'!$A$1:$U$37</definedName>
    <definedName name="_xlnm.Print_Area" localSheetId="34">'GAL CAMPIDANO_GAL BMG'!$A$1:$U$54</definedName>
    <definedName name="_xlnm.Print_Area" localSheetId="35">'GAL GALLURA_GAL LINAS'!$A$1:$U$49</definedName>
    <definedName name="_xlnm.Print_Area" localSheetId="36">'GAL LOGUDORO_GAL MARGHINE'!$A$1:$U$36</definedName>
    <definedName name="_xlnm.Print_Area" localSheetId="37">'GAL MARMILLA_GAL NUORESE B.'!$A$1:$U$42</definedName>
    <definedName name="_xlnm.Print_Area" localSheetId="38">'GAL OGLIASTRA_GAL SARCIDANO'!$A$1:$U$43</definedName>
    <definedName name="_xlnm.Print_Area" localSheetId="39">'GAL SGT_GAL SINIS'!$A$1:$U$42</definedName>
    <definedName name="_xlnm.Print_Area" localSheetId="40">'GAL SULCIS_GAL TERRAS DE OLIA'!$A$1:$U$46</definedName>
    <definedName name="_xlnm.Print_Area" localSheetId="5">'Impegni PROGR 2014-2022'!$A$1:$G$59</definedName>
    <definedName name="_xlnm.Print_Area" localSheetId="10">'M03'!$A$1:$AA$27</definedName>
    <definedName name="_xlnm.Print_Area" localSheetId="12">'M04'!$A$1:$AA$38</definedName>
    <definedName name="_xlnm.Print_Area" localSheetId="13">'M05'!$A$1:$AA$22</definedName>
    <definedName name="_xlnm.Print_Area" localSheetId="14">'M06'!$A$1:$AA$32</definedName>
    <definedName name="_xlnm.Print_Area" localSheetId="15">'M07'!$A$1:$AA$55</definedName>
    <definedName name="_xlnm.Print_Area" localSheetId="18">'M09'!$A$1:$AA$10</definedName>
    <definedName name="_xlnm.Print_Area" localSheetId="19">'M10.1 FEASR+EURI'!$A$1:$T$21</definedName>
    <definedName name="_xlnm.Print_Area" localSheetId="21">'M10.2'!$A$1:$AA$9</definedName>
    <definedName name="_xlnm.Print_Area" localSheetId="22">'M11'!$A$1:$S$21</definedName>
    <definedName name="_xlnm.Print_Area" localSheetId="24">'M13'!$A$1:$S$22</definedName>
    <definedName name="_xlnm.Print_Area" localSheetId="25">'M14'!$A$1:$S$21</definedName>
    <definedName name="_xlnm.Print_Area" localSheetId="26">'M15'!$A$1:$S$23</definedName>
    <definedName name="_xlnm.Print_Area" localSheetId="27">'M16'!$A$1:$AA$55</definedName>
    <definedName name="_xlnm.Print_Area" localSheetId="28">'M19'!$A$1:$Z$38</definedName>
    <definedName name="_xlnm.Print_Area" localSheetId="29">'M21'!$A$1:$AA$9</definedName>
    <definedName name="_xlnm.Print_Area" localSheetId="17">'M8.3-8.6'!$A$1:$AA$19</definedName>
    <definedName name="_xlnm.Print_Area" localSheetId="16">M8_1!$A$1:$P$21</definedName>
    <definedName name="_xlnm.Print_Area" localSheetId="6">Procedurale!$A$1:$F$102</definedName>
    <definedName name="_xlnm.Print_Titles" localSheetId="2">'Avanzamento_ SP_FEASR'!$1:$3</definedName>
    <definedName name="_xlnm.Print_Titles" localSheetId="1">'Avanzamento_ SP_totale'!$1:$4</definedName>
    <definedName name="_xlnm.Print_Titles" localSheetId="23">'Dettaglio M11 x bando'!$1:$5</definedName>
    <definedName name="_xlnm.Print_Titles" localSheetId="37">'GAL MARMILLA_GAL NUORESE B.'!$2:$5</definedName>
    <definedName name="_xlnm.Print_Titles" localSheetId="5">'Impegni PROGR 2014-2022'!$1:$3</definedName>
    <definedName name="_xlnm.Print_Titles" localSheetId="19">'M10.1 FEASR+EURI'!$1:$6</definedName>
    <definedName name="_xlnm.Print_Titles" localSheetId="22">'M11'!$1:$6</definedName>
    <definedName name="_xlnm.Print_Titles" localSheetId="24">'M13'!$1:$6</definedName>
    <definedName name="_xlnm.Print_Titles" localSheetId="25">'M14'!$1:$6</definedName>
    <definedName name="_xlnm.Print_Titles" localSheetId="26">'M15'!$1:$6</definedName>
    <definedName name="_xlnm.Print_Titles" localSheetId="16">M8_1!$1:$6</definedName>
    <definedName name="_xlnm.Print_Titles" localSheetId="6">Procedurale!$1:$2</definedName>
    <definedName name="_xlnm.Print_Titles" localSheetId="7">'Procedurale bandi GAL'!$1:$2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 i="11" l="1"/>
  <c r="U6" i="11"/>
  <c r="U59" i="11"/>
  <c r="U58" i="11"/>
  <c r="U57" i="11"/>
  <c r="U56" i="11"/>
  <c r="U55" i="11"/>
  <c r="U54" i="11"/>
  <c r="U52" i="11"/>
  <c r="U51" i="11"/>
  <c r="U50" i="11"/>
  <c r="U49" i="11"/>
  <c r="U48" i="11"/>
  <c r="U47" i="11"/>
  <c r="U46" i="11"/>
  <c r="U45" i="11"/>
  <c r="U44" i="11"/>
  <c r="U40" i="11"/>
  <c r="U38" i="11"/>
  <c r="U36" i="11"/>
  <c r="U35" i="11"/>
  <c r="U30" i="11"/>
  <c r="U29" i="11"/>
  <c r="U28" i="11"/>
  <c r="U27" i="11"/>
  <c r="U26" i="11"/>
  <c r="U25" i="11"/>
  <c r="U24" i="11"/>
  <c r="U23" i="11"/>
  <c r="U22" i="11"/>
  <c r="U21" i="11"/>
  <c r="U20" i="11"/>
  <c r="U19" i="11"/>
  <c r="U18" i="11"/>
  <c r="U17" i="11"/>
  <c r="U16" i="11"/>
  <c r="U15" i="11"/>
  <c r="U14" i="11"/>
  <c r="U13" i="11"/>
  <c r="U12" i="11"/>
  <c r="U11" i="11"/>
  <c r="U9" i="11"/>
  <c r="U8" i="11"/>
  <c r="U7" i="11"/>
  <c r="Q36" i="11"/>
  <c r="S30" i="11"/>
  <c r="Q30" i="11"/>
  <c r="S26" i="11"/>
  <c r="S23" i="11"/>
  <c r="S24" i="11"/>
  <c r="S25" i="11"/>
  <c r="S13" i="11"/>
  <c r="Q13" i="11"/>
  <c r="M6" i="11"/>
  <c r="D8" i="36"/>
  <c r="F8" i="36"/>
  <c r="C14" i="36" l="1"/>
  <c r="C8" i="36"/>
  <c r="C26" i="36"/>
  <c r="C25" i="36"/>
  <c r="C55" i="36"/>
  <c r="C54" i="36"/>
  <c r="C53" i="36"/>
  <c r="C52" i="36"/>
  <c r="C50" i="36"/>
  <c r="C44" i="36"/>
  <c r="C45" i="36"/>
  <c r="C46" i="36"/>
  <c r="C47" i="36"/>
  <c r="C48" i="36"/>
  <c r="C49" i="36"/>
  <c r="C43" i="36"/>
  <c r="C51" i="36"/>
  <c r="G33" i="36"/>
  <c r="C23" i="36"/>
  <c r="C22" i="36"/>
  <c r="C21" i="36"/>
  <c r="C20" i="36"/>
  <c r="C19" i="36"/>
  <c r="C18" i="36"/>
  <c r="C17" i="36"/>
  <c r="C16" i="36"/>
  <c r="C15" i="36"/>
  <c r="C13" i="36"/>
  <c r="C12" i="36"/>
  <c r="C11" i="36"/>
  <c r="C10" i="36"/>
  <c r="C9" i="36"/>
  <c r="C7" i="36"/>
  <c r="C6" i="36"/>
  <c r="C5" i="36"/>
  <c r="C4" i="36"/>
  <c r="L5" i="84"/>
  <c r="K5" i="84"/>
  <c r="L35" i="11" l="1"/>
  <c r="M21" i="11" l="1"/>
  <c r="M8" i="11"/>
  <c r="L55" i="11"/>
  <c r="S44" i="11"/>
  <c r="S43" i="11"/>
  <c r="S42" i="11"/>
  <c r="S41" i="11"/>
  <c r="S40" i="11"/>
  <c r="S39" i="11"/>
  <c r="S38" i="11"/>
  <c r="S37" i="11"/>
  <c r="S36" i="11"/>
  <c r="T45" i="11"/>
  <c r="T44" i="11"/>
  <c r="T43" i="11"/>
  <c r="T42" i="11"/>
  <c r="T41" i="11"/>
  <c r="T40" i="11"/>
  <c r="T39" i="11"/>
  <c r="T38" i="11"/>
  <c r="T37" i="11"/>
  <c r="T36" i="11"/>
  <c r="T35" i="11"/>
  <c r="T34" i="11"/>
  <c r="T33" i="11"/>
  <c r="T32" i="11"/>
  <c r="T31" i="11"/>
  <c r="T30" i="11"/>
  <c r="T25" i="11"/>
  <c r="T26" i="11"/>
  <c r="H15" i="84"/>
  <c r="K54" i="84"/>
  <c r="K27" i="84"/>
  <c r="Q58" i="11" l="1"/>
  <c r="Q57" i="11"/>
  <c r="Q56" i="11"/>
  <c r="Q55" i="11"/>
  <c r="Q54" i="11"/>
  <c r="Q53" i="11"/>
  <c r="Q52" i="11"/>
  <c r="Q51" i="11"/>
  <c r="Q50" i="11"/>
  <c r="Q49" i="11"/>
  <c r="Q48" i="11"/>
  <c r="Q47" i="11"/>
  <c r="Q46" i="11"/>
  <c r="Q45" i="11"/>
  <c r="Q44" i="11"/>
  <c r="Q40" i="11"/>
  <c r="Q38" i="11"/>
  <c r="Q34" i="11"/>
  <c r="Q33" i="11"/>
  <c r="Q32" i="11"/>
  <c r="Q31" i="11"/>
  <c r="Q29" i="11"/>
  <c r="Q28" i="11"/>
  <c r="Q27" i="11"/>
  <c r="Q26" i="11"/>
  <c r="Q25" i="11"/>
  <c r="Q24" i="11"/>
  <c r="Q23" i="11"/>
  <c r="Q22" i="11"/>
  <c r="Q21" i="11"/>
  <c r="Q20" i="11"/>
  <c r="Q19" i="11"/>
  <c r="Q18" i="11"/>
  <c r="Q17" i="11"/>
  <c r="Q16" i="11"/>
  <c r="Q15" i="11"/>
  <c r="Q14" i="11"/>
  <c r="Q12" i="11"/>
  <c r="Q11" i="11"/>
  <c r="Q10" i="11"/>
  <c r="Q9" i="11"/>
  <c r="Q8" i="11"/>
  <c r="Q7" i="11"/>
  <c r="Q6" i="11"/>
  <c r="M58" i="11"/>
  <c r="M57" i="11"/>
  <c r="M56" i="11"/>
  <c r="M55" i="11"/>
  <c r="M54" i="11"/>
  <c r="M53" i="11"/>
  <c r="M52" i="11"/>
  <c r="M51" i="11"/>
  <c r="M50" i="11"/>
  <c r="M49" i="11"/>
  <c r="M48" i="11"/>
  <c r="M47" i="11"/>
  <c r="M46" i="11"/>
  <c r="M45" i="11"/>
  <c r="M44" i="11"/>
  <c r="M43" i="11"/>
  <c r="M42" i="11"/>
  <c r="M41" i="11"/>
  <c r="M40" i="11"/>
  <c r="M39" i="11"/>
  <c r="M38" i="11"/>
  <c r="M37" i="11"/>
  <c r="M36" i="11"/>
  <c r="M34" i="11"/>
  <c r="M33" i="11"/>
  <c r="M32" i="11"/>
  <c r="M31" i="11"/>
  <c r="M30" i="11"/>
  <c r="M29" i="11"/>
  <c r="M28" i="11"/>
  <c r="M27" i="11"/>
  <c r="M26" i="11"/>
  <c r="M25" i="11"/>
  <c r="M24" i="11"/>
  <c r="M23" i="11"/>
  <c r="M22" i="11"/>
  <c r="M20" i="11"/>
  <c r="M19" i="11"/>
  <c r="M18" i="11"/>
  <c r="M17" i="11"/>
  <c r="M16" i="11"/>
  <c r="M15" i="11"/>
  <c r="M14" i="11"/>
  <c r="M13" i="11"/>
  <c r="M12" i="11"/>
  <c r="M11" i="11"/>
  <c r="M10" i="11"/>
  <c r="M9" i="11"/>
  <c r="M7" i="11"/>
  <c r="H58" i="11"/>
  <c r="H57" i="11"/>
  <c r="H56" i="11"/>
  <c r="H55" i="11"/>
  <c r="H54" i="11"/>
  <c r="H53" i="11"/>
  <c r="H52" i="11"/>
  <c r="H51" i="11"/>
  <c r="H50" i="11"/>
  <c r="H49" i="11"/>
  <c r="H48" i="11"/>
  <c r="H47" i="11"/>
  <c r="H46" i="11"/>
  <c r="H45" i="11"/>
  <c r="H44" i="11"/>
  <c r="H43" i="11"/>
  <c r="H42" i="11"/>
  <c r="H41" i="11"/>
  <c r="H40" i="11"/>
  <c r="H39" i="11"/>
  <c r="H38" i="11"/>
  <c r="H37" i="11"/>
  <c r="H36" i="11"/>
  <c r="S34" i="11"/>
  <c r="S33" i="11"/>
  <c r="S32" i="11"/>
  <c r="S31" i="11"/>
  <c r="H30" i="11"/>
  <c r="H29" i="11"/>
  <c r="H28" i="11"/>
  <c r="H27" i="11"/>
  <c r="H26" i="11"/>
  <c r="H25" i="11"/>
  <c r="H24" i="11"/>
  <c r="H23" i="11"/>
  <c r="H22" i="11"/>
  <c r="H21" i="11"/>
  <c r="H20" i="11"/>
  <c r="H19" i="11"/>
  <c r="H18" i="11"/>
  <c r="H17" i="11"/>
  <c r="H16" i="11"/>
  <c r="H15" i="11"/>
  <c r="H14" i="11"/>
  <c r="H13" i="11"/>
  <c r="H12" i="11"/>
  <c r="H11" i="11"/>
  <c r="H10" i="11"/>
  <c r="H9" i="11"/>
  <c r="H8" i="11"/>
  <c r="H7" i="11"/>
  <c r="H6" i="11"/>
  <c r="G56" i="84"/>
  <c r="T6" i="11"/>
  <c r="S6" i="11"/>
  <c r="F59" i="11"/>
  <c r="E59" i="11"/>
  <c r="D59" i="11"/>
  <c r="C59" i="11"/>
  <c r="J10" i="17" l="1"/>
  <c r="P7" i="19"/>
  <c r="I10" i="17" l="1"/>
  <c r="I7" i="19"/>
  <c r="J7" i="19" s="1"/>
  <c r="S19" i="110"/>
  <c r="R19" i="110"/>
  <c r="P19" i="110"/>
  <c r="Q19" i="110" s="1"/>
  <c r="O19" i="110"/>
  <c r="N19" i="110"/>
  <c r="M19" i="110"/>
  <c r="L19" i="110"/>
  <c r="K19" i="110"/>
  <c r="J19" i="110"/>
  <c r="I19" i="110"/>
  <c r="H19" i="110"/>
  <c r="G19" i="110"/>
  <c r="D7" i="110" s="1"/>
  <c r="D19" i="110" s="1"/>
  <c r="F19" i="110"/>
  <c r="C19" i="110"/>
  <c r="B19" i="110"/>
  <c r="S7" i="110"/>
  <c r="Q7" i="110"/>
  <c r="S17" i="109"/>
  <c r="R17" i="109"/>
  <c r="P17" i="109"/>
  <c r="Q17" i="109" s="1"/>
  <c r="O17" i="109"/>
  <c r="N17" i="109"/>
  <c r="M17" i="109"/>
  <c r="L17" i="109"/>
  <c r="J17" i="109"/>
  <c r="I17" i="109"/>
  <c r="H17" i="109"/>
  <c r="G17" i="109"/>
  <c r="F17" i="109"/>
  <c r="C17" i="109"/>
  <c r="B17" i="109"/>
  <c r="K16" i="109"/>
  <c r="K17" i="109" s="1"/>
  <c r="S7" i="109"/>
  <c r="Q7" i="109"/>
  <c r="S18" i="108"/>
  <c r="R18" i="108"/>
  <c r="P18" i="108"/>
  <c r="Q18" i="108" s="1"/>
  <c r="O18" i="108"/>
  <c r="N18" i="108"/>
  <c r="M18" i="108"/>
  <c r="L18" i="108"/>
  <c r="K18" i="108"/>
  <c r="D7" i="108" s="1"/>
  <c r="D18" i="108" s="1"/>
  <c r="J18" i="108"/>
  <c r="I18" i="108"/>
  <c r="H18" i="108"/>
  <c r="G18" i="108"/>
  <c r="F18" i="108"/>
  <c r="C18" i="108"/>
  <c r="B18" i="108"/>
  <c r="S7" i="108"/>
  <c r="Q7" i="108"/>
  <c r="M40" i="107"/>
  <c r="L40" i="107"/>
  <c r="K40" i="107"/>
  <c r="J39" i="107"/>
  <c r="J40" i="107" s="1"/>
  <c r="I39" i="107"/>
  <c r="I40" i="107" s="1"/>
  <c r="H39" i="107"/>
  <c r="H40" i="107" s="1"/>
  <c r="G39" i="107"/>
  <c r="F39" i="107"/>
  <c r="E39" i="107"/>
  <c r="E40" i="107" s="1"/>
  <c r="D39" i="107"/>
  <c r="D40" i="107" s="1"/>
  <c r="J37" i="107"/>
  <c r="I37" i="107"/>
  <c r="H37" i="107"/>
  <c r="G37" i="107"/>
  <c r="F37" i="107"/>
  <c r="E37" i="107"/>
  <c r="D37" i="107"/>
  <c r="J34" i="107"/>
  <c r="I34" i="107"/>
  <c r="H34" i="107"/>
  <c r="G34" i="107"/>
  <c r="F34" i="107"/>
  <c r="E34" i="107"/>
  <c r="D34" i="107"/>
  <c r="J30" i="107"/>
  <c r="I30" i="107"/>
  <c r="H30" i="107"/>
  <c r="G30" i="107"/>
  <c r="G40" i="107" s="1"/>
  <c r="F30" i="107"/>
  <c r="F40" i="107" s="1"/>
  <c r="E30" i="107"/>
  <c r="D30" i="107"/>
  <c r="J25" i="107"/>
  <c r="I25" i="107"/>
  <c r="H25" i="107"/>
  <c r="G25" i="107"/>
  <c r="F25" i="107"/>
  <c r="E25" i="107"/>
  <c r="D25" i="107"/>
  <c r="J19" i="107"/>
  <c r="I19" i="107"/>
  <c r="H19" i="107"/>
  <c r="G19" i="107"/>
  <c r="F19" i="107"/>
  <c r="E19" i="107"/>
  <c r="D19" i="107"/>
  <c r="J13" i="107"/>
  <c r="I13" i="107"/>
  <c r="H13" i="107"/>
  <c r="G13" i="107"/>
  <c r="F13" i="107"/>
  <c r="E13" i="107"/>
  <c r="D13" i="107"/>
  <c r="M6" i="107"/>
  <c r="S16" i="106"/>
  <c r="R16" i="106"/>
  <c r="P16" i="106"/>
  <c r="Q16" i="106" s="1"/>
  <c r="O16" i="106"/>
  <c r="G16" i="106"/>
  <c r="F16" i="106"/>
  <c r="C16" i="106"/>
  <c r="B16" i="106"/>
  <c r="N15" i="106"/>
  <c r="M15" i="106"/>
  <c r="L15" i="106"/>
  <c r="K15" i="106"/>
  <c r="J15" i="106"/>
  <c r="I15" i="106"/>
  <c r="H15" i="106"/>
  <c r="H16" i="106" s="1"/>
  <c r="N14" i="106"/>
  <c r="M14" i="106"/>
  <c r="L14" i="106"/>
  <c r="K14" i="106"/>
  <c r="J14" i="106"/>
  <c r="I14" i="106"/>
  <c r="H14" i="106"/>
  <c r="N13" i="106"/>
  <c r="M13" i="106"/>
  <c r="L13" i="106"/>
  <c r="K13" i="106"/>
  <c r="J13" i="106"/>
  <c r="I13" i="106"/>
  <c r="H13" i="106"/>
  <c r="N12" i="106"/>
  <c r="M12" i="106"/>
  <c r="L12" i="106"/>
  <c r="K12" i="106"/>
  <c r="J12" i="106"/>
  <c r="I12" i="106"/>
  <c r="I16" i="106" s="1"/>
  <c r="H12" i="106"/>
  <c r="N11" i="106"/>
  <c r="M11" i="106"/>
  <c r="L11" i="106"/>
  <c r="L16" i="106" s="1"/>
  <c r="K11" i="106"/>
  <c r="J11" i="106"/>
  <c r="I11" i="106"/>
  <c r="H11" i="106"/>
  <c r="N10" i="106"/>
  <c r="M10" i="106"/>
  <c r="L10" i="106"/>
  <c r="K10" i="106"/>
  <c r="J10" i="106"/>
  <c r="I10" i="106"/>
  <c r="H10" i="106"/>
  <c r="N9" i="106"/>
  <c r="N16" i="106" s="1"/>
  <c r="M9" i="106"/>
  <c r="M16" i="106" s="1"/>
  <c r="L9" i="106"/>
  <c r="K9" i="106"/>
  <c r="K16" i="106" s="1"/>
  <c r="J9" i="106"/>
  <c r="J16" i="106" s="1"/>
  <c r="I9" i="106"/>
  <c r="H9" i="106"/>
  <c r="S7" i="106"/>
  <c r="Q7" i="106"/>
  <c r="P7" i="106"/>
  <c r="O7" i="106"/>
  <c r="N56" i="105"/>
  <c r="O56" i="105" s="1"/>
  <c r="O55" i="105"/>
  <c r="N55" i="105"/>
  <c r="L55" i="105"/>
  <c r="L56" i="105" s="1"/>
  <c r="K55" i="105"/>
  <c r="K56" i="105" s="1"/>
  <c r="J55" i="105"/>
  <c r="I55" i="105"/>
  <c r="H55" i="105"/>
  <c r="H56" i="105" s="1"/>
  <c r="G55" i="105"/>
  <c r="G56" i="105" s="1"/>
  <c r="F55" i="105"/>
  <c r="F56" i="105" s="1"/>
  <c r="E55" i="105"/>
  <c r="D55" i="105"/>
  <c r="D56" i="105" s="1"/>
  <c r="O54" i="105"/>
  <c r="O53" i="105"/>
  <c r="O52" i="105"/>
  <c r="M52" i="105"/>
  <c r="M55" i="105" s="1"/>
  <c r="M56" i="105" s="1"/>
  <c r="N51" i="105"/>
  <c r="O51" i="105" s="1"/>
  <c r="M51" i="105"/>
  <c r="L51" i="105"/>
  <c r="K51" i="105"/>
  <c r="J51" i="105"/>
  <c r="I51" i="105"/>
  <c r="H51" i="105"/>
  <c r="G51" i="105"/>
  <c r="F51" i="105"/>
  <c r="E51" i="105"/>
  <c r="D51" i="105"/>
  <c r="O42" i="105"/>
  <c r="N41" i="105"/>
  <c r="M41" i="105"/>
  <c r="L41" i="105"/>
  <c r="K41" i="105"/>
  <c r="J41" i="105"/>
  <c r="I41" i="105"/>
  <c r="H41" i="105"/>
  <c r="G41" i="105"/>
  <c r="F41" i="105"/>
  <c r="E41" i="105"/>
  <c r="D41" i="105"/>
  <c r="N37" i="105"/>
  <c r="O37" i="105" s="1"/>
  <c r="M37" i="105"/>
  <c r="L37" i="105"/>
  <c r="K37" i="105"/>
  <c r="O32" i="105"/>
  <c r="N31" i="105"/>
  <c r="Q7" i="104" s="1"/>
  <c r="M31" i="105"/>
  <c r="L31" i="105"/>
  <c r="K31" i="105"/>
  <c r="F31" i="105"/>
  <c r="E31" i="105"/>
  <c r="J30" i="105"/>
  <c r="J31" i="105" s="1"/>
  <c r="I30" i="105"/>
  <c r="I31" i="105" s="1"/>
  <c r="H30" i="105"/>
  <c r="H31" i="105" s="1"/>
  <c r="G30" i="105"/>
  <c r="G31" i="105" s="1"/>
  <c r="F30" i="105"/>
  <c r="E30" i="105"/>
  <c r="D30" i="105"/>
  <c r="D31" i="105" s="1"/>
  <c r="J26" i="105"/>
  <c r="I26" i="105"/>
  <c r="H26" i="105"/>
  <c r="G26" i="105"/>
  <c r="F26" i="105"/>
  <c r="E26" i="105"/>
  <c r="D26" i="105"/>
  <c r="O19" i="105"/>
  <c r="O31" i="105" s="1"/>
  <c r="O18" i="105"/>
  <c r="N18" i="105"/>
  <c r="M18" i="105"/>
  <c r="L18" i="105"/>
  <c r="K18" i="105"/>
  <c r="I18" i="105"/>
  <c r="H18" i="105"/>
  <c r="D18" i="105"/>
  <c r="J17" i="105"/>
  <c r="I17" i="105"/>
  <c r="H17" i="105"/>
  <c r="G17" i="105"/>
  <c r="G18" i="105" s="1"/>
  <c r="F17" i="105"/>
  <c r="F18" i="105" s="1"/>
  <c r="E17" i="105"/>
  <c r="D17" i="105"/>
  <c r="J14" i="105"/>
  <c r="J18" i="105" s="1"/>
  <c r="I14" i="105"/>
  <c r="H14" i="105"/>
  <c r="G14" i="105"/>
  <c r="F14" i="105"/>
  <c r="E14" i="105"/>
  <c r="E18" i="105" s="1"/>
  <c r="D14" i="105"/>
  <c r="O6" i="105"/>
  <c r="B27" i="104"/>
  <c r="C23" i="104"/>
  <c r="S18" i="104"/>
  <c r="P18" i="104"/>
  <c r="O18" i="104"/>
  <c r="N18" i="104"/>
  <c r="G18" i="104"/>
  <c r="F18" i="104"/>
  <c r="C18" i="104"/>
  <c r="B18" i="104"/>
  <c r="B23" i="104" s="1"/>
  <c r="N17" i="104"/>
  <c r="M17" i="104"/>
  <c r="L17" i="104"/>
  <c r="K17" i="104"/>
  <c r="J17" i="104"/>
  <c r="I17" i="104"/>
  <c r="H17" i="104"/>
  <c r="N16" i="104"/>
  <c r="M16" i="104"/>
  <c r="L16" i="104"/>
  <c r="K16" i="104"/>
  <c r="J16" i="104"/>
  <c r="I16" i="104"/>
  <c r="H16" i="104"/>
  <c r="N15" i="104"/>
  <c r="M15" i="104"/>
  <c r="L15" i="104"/>
  <c r="K15" i="104"/>
  <c r="J15" i="104"/>
  <c r="I15" i="104"/>
  <c r="H15" i="104"/>
  <c r="P14" i="104"/>
  <c r="N14" i="104"/>
  <c r="M14" i="104"/>
  <c r="L14" i="104"/>
  <c r="K14" i="104"/>
  <c r="J14" i="104"/>
  <c r="I14" i="104"/>
  <c r="H14" i="104"/>
  <c r="N13" i="104"/>
  <c r="M13" i="104"/>
  <c r="L13" i="104"/>
  <c r="K13" i="104"/>
  <c r="J13" i="104"/>
  <c r="I13" i="104"/>
  <c r="H13" i="104"/>
  <c r="N12" i="104"/>
  <c r="M12" i="104"/>
  <c r="L12" i="104"/>
  <c r="K12" i="104"/>
  <c r="J12" i="104"/>
  <c r="I12" i="104"/>
  <c r="H12" i="104"/>
  <c r="H18" i="104" s="1"/>
  <c r="N11" i="104"/>
  <c r="M11" i="104"/>
  <c r="L11" i="104"/>
  <c r="K11" i="104"/>
  <c r="J11" i="104"/>
  <c r="J18" i="104" s="1"/>
  <c r="I11" i="104"/>
  <c r="H11" i="104"/>
  <c r="N10" i="104"/>
  <c r="M10" i="104"/>
  <c r="L10" i="104"/>
  <c r="K10" i="104"/>
  <c r="J10" i="104"/>
  <c r="I10" i="104"/>
  <c r="H10" i="104"/>
  <c r="N9" i="104"/>
  <c r="M9" i="104"/>
  <c r="M18" i="104" s="1"/>
  <c r="L9" i="104"/>
  <c r="L18" i="104" s="1"/>
  <c r="K9" i="104"/>
  <c r="K18" i="104" s="1"/>
  <c r="J9" i="104"/>
  <c r="I9" i="104"/>
  <c r="I18" i="104" s="1"/>
  <c r="H9" i="104"/>
  <c r="T7" i="104"/>
  <c r="T18" i="104" s="1"/>
  <c r="O7" i="104"/>
  <c r="G17" i="103"/>
  <c r="F17" i="103"/>
  <c r="P7" i="103"/>
  <c r="N7" i="103"/>
  <c r="I56" i="105" l="1"/>
  <c r="D7" i="109"/>
  <c r="D17" i="109" s="1"/>
  <c r="E56" i="105"/>
  <c r="D7" i="104"/>
  <c r="D18" i="104" s="1"/>
  <c r="R7" i="104"/>
  <c r="Q18" i="104"/>
  <c r="R18" i="104" s="1"/>
  <c r="J56" i="105"/>
  <c r="D7" i="106"/>
  <c r="D16" i="106" s="1"/>
  <c r="G6" i="100" l="1"/>
  <c r="W10" i="17" l="1"/>
  <c r="Y8" i="19"/>
  <c r="W28" i="19"/>
  <c r="AA16" i="14"/>
  <c r="Y16" i="14"/>
  <c r="Z16" i="14"/>
  <c r="V14" i="24"/>
  <c r="L18" i="39" l="1"/>
  <c r="M18" i="39"/>
  <c r="U8" i="19" l="1"/>
  <c r="U28" i="19"/>
  <c r="U10" i="17"/>
  <c r="M42" i="20" l="1"/>
  <c r="J6" i="20" l="1"/>
  <c r="O26" i="19" l="1"/>
  <c r="N26" i="19"/>
  <c r="O8" i="19"/>
  <c r="N8" i="19"/>
  <c r="O6" i="19"/>
  <c r="N6" i="19"/>
  <c r="P8" i="17" l="1"/>
  <c r="P8" i="19" l="1"/>
  <c r="M8" i="19"/>
  <c r="J33" i="17"/>
  <c r="P33" i="17" s="1"/>
  <c r="L12" i="84" l="1"/>
  <c r="I7" i="100"/>
  <c r="L9" i="84"/>
  <c r="L15" i="84"/>
  <c r="L27" i="84"/>
  <c r="I9" i="101"/>
  <c r="I5" i="101"/>
  <c r="I15" i="101"/>
  <c r="I14" i="101"/>
  <c r="I13" i="101"/>
  <c r="I12" i="101"/>
  <c r="I11" i="101"/>
  <c r="I10" i="101"/>
  <c r="I8" i="101"/>
  <c r="I7" i="101"/>
  <c r="I6" i="101"/>
  <c r="I16" i="101" l="1"/>
  <c r="I6" i="100"/>
  <c r="L57" i="84"/>
  <c r="L56" i="84"/>
  <c r="L55" i="84"/>
  <c r="L54" i="84"/>
  <c r="L53" i="84"/>
  <c r="L52" i="84"/>
  <c r="L51" i="84"/>
  <c r="L50" i="84"/>
  <c r="L49" i="84"/>
  <c r="L46" i="84"/>
  <c r="L45" i="84"/>
  <c r="L44" i="84"/>
  <c r="L34" i="84"/>
  <c r="L28" i="84"/>
  <c r="L26" i="84"/>
  <c r="L24" i="84"/>
  <c r="L23" i="84"/>
  <c r="L22" i="84"/>
  <c r="L21" i="84"/>
  <c r="L20" i="84"/>
  <c r="L18" i="84"/>
  <c r="L17" i="84"/>
  <c r="L16" i="84"/>
  <c r="L14" i="84"/>
  <c r="L13" i="84"/>
  <c r="L11" i="84"/>
  <c r="L10" i="84"/>
  <c r="L8" i="84"/>
  <c r="L7" i="84"/>
  <c r="L6" i="84"/>
  <c r="W26" i="19" l="1"/>
  <c r="Y18" i="19"/>
  <c r="Y9" i="19"/>
  <c r="W23" i="17"/>
  <c r="W12" i="17"/>
  <c r="P51" i="20"/>
  <c r="J8" i="19"/>
  <c r="J6" i="19"/>
  <c r="W19" i="18"/>
  <c r="U26" i="19"/>
  <c r="U18" i="19"/>
  <c r="U9" i="19"/>
  <c r="O42" i="20" l="1"/>
  <c r="N42" i="20"/>
  <c r="M15" i="23"/>
  <c r="N15" i="23"/>
  <c r="O15" i="23"/>
  <c r="L15" i="23"/>
  <c r="K15" i="23"/>
  <c r="O28" i="19"/>
  <c r="N28" i="19"/>
  <c r="M28" i="19"/>
  <c r="P28" i="19" s="1"/>
  <c r="L28" i="19"/>
  <c r="K28" i="19"/>
  <c r="M14" i="14" l="1"/>
  <c r="J16" i="14"/>
  <c r="O14" i="14"/>
  <c r="N14" i="14"/>
  <c r="L14" i="14"/>
  <c r="K14" i="14"/>
  <c r="N20" i="17"/>
  <c r="O20" i="17"/>
  <c r="L20" i="17"/>
  <c r="K20" i="17"/>
  <c r="O9" i="17"/>
  <c r="M9" i="17"/>
  <c r="N9" i="17"/>
  <c r="L9" i="17"/>
  <c r="K9" i="17"/>
  <c r="O6" i="17"/>
  <c r="N6" i="17"/>
  <c r="M6" i="17"/>
  <c r="L6" i="17"/>
  <c r="K6" i="17"/>
  <c r="O24" i="23"/>
  <c r="N24" i="23"/>
  <c r="M24" i="23"/>
  <c r="L24" i="23"/>
  <c r="K24" i="23"/>
  <c r="O7" i="18"/>
  <c r="N7" i="18"/>
  <c r="M7" i="18"/>
  <c r="L7" i="18"/>
  <c r="K7" i="18"/>
  <c r="L26" i="19" l="1"/>
  <c r="K26" i="19"/>
  <c r="Q17" i="18"/>
  <c r="Q6" i="19" l="1"/>
  <c r="U19" i="18"/>
  <c r="U23" i="17"/>
  <c r="U12" i="17"/>
  <c r="O10" i="11" s="1"/>
  <c r="P22" i="17" l="1"/>
  <c r="Q22" i="17"/>
  <c r="Q11" i="17"/>
  <c r="P11" i="17"/>
  <c r="Q24" i="16" l="1"/>
  <c r="F17" i="89" l="1"/>
  <c r="J27" i="19" l="1"/>
  <c r="P27" i="19" s="1"/>
  <c r="I27" i="19"/>
  <c r="U17" i="54"/>
  <c r="T17" i="54"/>
  <c r="S17" i="54"/>
  <c r="R17" i="54"/>
  <c r="P17" i="54"/>
  <c r="O17" i="54"/>
  <c r="N17" i="54"/>
  <c r="M17" i="54"/>
  <c r="L17" i="54"/>
  <c r="K17" i="54"/>
  <c r="J17" i="54"/>
  <c r="I17" i="54"/>
  <c r="H17" i="54"/>
  <c r="G17" i="54"/>
  <c r="F17" i="54"/>
  <c r="D17" i="54"/>
  <c r="Q42" i="39" l="1"/>
  <c r="U43" i="39"/>
  <c r="T43" i="39"/>
  <c r="S43" i="39"/>
  <c r="R43" i="39"/>
  <c r="Q43" i="39"/>
  <c r="P43" i="39"/>
  <c r="O43" i="39"/>
  <c r="N43" i="39"/>
  <c r="M43" i="39"/>
  <c r="L43" i="39"/>
  <c r="K43" i="39"/>
  <c r="J43" i="39"/>
  <c r="I43" i="39"/>
  <c r="H43" i="39"/>
  <c r="G43" i="39"/>
  <c r="F43" i="39"/>
  <c r="D43" i="39"/>
  <c r="Q16" i="54"/>
  <c r="Q17" i="54" s="1"/>
  <c r="Q33" i="54"/>
  <c r="U34" i="54"/>
  <c r="T34" i="54"/>
  <c r="S34" i="54"/>
  <c r="R34" i="54"/>
  <c r="O34" i="54"/>
  <c r="M34" i="54"/>
  <c r="L34" i="54"/>
  <c r="K34" i="54"/>
  <c r="J34" i="54"/>
  <c r="I34" i="54"/>
  <c r="H34" i="54"/>
  <c r="G34" i="54"/>
  <c r="F34" i="54"/>
  <c r="D34" i="54"/>
  <c r="Q42" i="27"/>
  <c r="Q51" i="44"/>
  <c r="Q52" i="44" s="1"/>
  <c r="U52" i="44"/>
  <c r="T52" i="44"/>
  <c r="S52" i="44"/>
  <c r="R52" i="44"/>
  <c r="P52" i="44"/>
  <c r="O52" i="44"/>
  <c r="N52" i="44"/>
  <c r="M52" i="44"/>
  <c r="L52" i="44"/>
  <c r="K52" i="44"/>
  <c r="J52" i="44"/>
  <c r="I52" i="44"/>
  <c r="H52" i="44"/>
  <c r="G52" i="44"/>
  <c r="F52" i="44"/>
  <c r="D52" i="44"/>
  <c r="K10" i="44"/>
  <c r="P32" i="17" l="1"/>
  <c r="Q17" i="39"/>
  <c r="Q12" i="46"/>
  <c r="Q13" i="46" s="1"/>
  <c r="Q22" i="27"/>
  <c r="Q23" i="27"/>
  <c r="Q8" i="27"/>
  <c r="U24" i="27"/>
  <c r="T24" i="27"/>
  <c r="S24" i="27"/>
  <c r="R24" i="27"/>
  <c r="P24" i="27"/>
  <c r="O24" i="27"/>
  <c r="N24" i="27"/>
  <c r="M24" i="27"/>
  <c r="L24" i="27"/>
  <c r="K24" i="27"/>
  <c r="J24" i="27"/>
  <c r="I24" i="27"/>
  <c r="H24" i="27"/>
  <c r="G24" i="27"/>
  <c r="F24" i="27"/>
  <c r="D24" i="27"/>
  <c r="U18" i="39"/>
  <c r="T18" i="39"/>
  <c r="S18" i="39"/>
  <c r="R18" i="39"/>
  <c r="P18" i="39"/>
  <c r="O18" i="39"/>
  <c r="N18" i="39"/>
  <c r="K18" i="39"/>
  <c r="J18" i="39"/>
  <c r="I18" i="39"/>
  <c r="H18" i="39"/>
  <c r="G18" i="39"/>
  <c r="F18" i="39"/>
  <c r="D18" i="39"/>
  <c r="U13" i="46"/>
  <c r="T13" i="46"/>
  <c r="S13" i="46"/>
  <c r="R13" i="46"/>
  <c r="P13" i="46"/>
  <c r="O13" i="46"/>
  <c r="N13" i="46"/>
  <c r="M13" i="46"/>
  <c r="L13" i="46"/>
  <c r="K13" i="46"/>
  <c r="J13" i="46"/>
  <c r="I13" i="46"/>
  <c r="H13" i="46"/>
  <c r="G13" i="46"/>
  <c r="F13" i="46"/>
  <c r="D13" i="46"/>
  <c r="U35" i="26"/>
  <c r="T35" i="26"/>
  <c r="S35" i="26"/>
  <c r="R35" i="26"/>
  <c r="P35" i="26"/>
  <c r="O35" i="26"/>
  <c r="N35" i="26"/>
  <c r="M35" i="26"/>
  <c r="L35" i="26"/>
  <c r="K35" i="26"/>
  <c r="J35" i="26"/>
  <c r="I35" i="26"/>
  <c r="H35" i="26"/>
  <c r="G35" i="26"/>
  <c r="F35" i="26"/>
  <c r="D35" i="26"/>
  <c r="Q34" i="26"/>
  <c r="Q19" i="44"/>
  <c r="U20" i="44"/>
  <c r="T20" i="44"/>
  <c r="S20" i="44"/>
  <c r="R20" i="44"/>
  <c r="P20" i="44"/>
  <c r="O20" i="44"/>
  <c r="N20" i="44"/>
  <c r="M20" i="44"/>
  <c r="L20" i="44"/>
  <c r="K20" i="44"/>
  <c r="J20" i="44"/>
  <c r="I20" i="44"/>
  <c r="H20" i="44"/>
  <c r="G20" i="44"/>
  <c r="F20" i="44"/>
  <c r="D20" i="44"/>
  <c r="J57" i="11"/>
  <c r="Q24" i="27" l="1"/>
  <c r="F42" i="36"/>
  <c r="G42" i="36"/>
  <c r="F41" i="36"/>
  <c r="F40" i="36"/>
  <c r="F39" i="36"/>
  <c r="F38" i="36"/>
  <c r="G38" i="36"/>
  <c r="F37" i="36"/>
  <c r="F36" i="36"/>
  <c r="G36" i="36"/>
  <c r="F34" i="36"/>
  <c r="G34" i="36"/>
  <c r="F28" i="36"/>
  <c r="G28" i="36"/>
  <c r="Q44" i="23" l="1"/>
  <c r="Q6" i="17"/>
  <c r="Q26" i="19"/>
  <c r="P18" i="18" l="1"/>
  <c r="P31" i="17"/>
  <c r="Q7" i="17"/>
  <c r="Q21" i="16"/>
  <c r="E11" i="36" l="1"/>
  <c r="AA18" i="19" l="1"/>
  <c r="X23" i="17" l="1"/>
  <c r="Y23" i="17"/>
  <c r="Z23" i="17"/>
  <c r="AA23" i="17"/>
  <c r="P15" i="35" l="1"/>
  <c r="J55" i="11" l="1"/>
  <c r="J54" i="11"/>
  <c r="J52" i="11"/>
  <c r="J51" i="11"/>
  <c r="J16" i="11"/>
  <c r="G59" i="11"/>
  <c r="H59" i="11" s="1"/>
  <c r="S58" i="11"/>
  <c r="S57" i="11"/>
  <c r="S56" i="11"/>
  <c r="S51" i="11"/>
  <c r="S50" i="11"/>
  <c r="S49" i="11"/>
  <c r="S48" i="11"/>
  <c r="S47" i="11"/>
  <c r="S46" i="11"/>
  <c r="S45" i="11"/>
  <c r="I47" i="84" l="1"/>
  <c r="L47" i="84" s="1"/>
  <c r="I48" i="84"/>
  <c r="L48" i="84" s="1"/>
  <c r="Q11" i="46" l="1"/>
  <c r="O17" i="19" l="1"/>
  <c r="N17" i="19"/>
  <c r="P18" i="11" l="1"/>
  <c r="O18" i="11" s="1"/>
  <c r="O13" i="11"/>
  <c r="M17" i="19" l="1"/>
  <c r="L17" i="19"/>
  <c r="M17" i="18"/>
  <c r="L17" i="18"/>
  <c r="K17" i="19"/>
  <c r="U24" i="29" l="1"/>
  <c r="T24" i="29"/>
  <c r="S24" i="29"/>
  <c r="R24" i="29"/>
  <c r="P24" i="29"/>
  <c r="O24" i="29"/>
  <c r="N24" i="29"/>
  <c r="M24" i="29"/>
  <c r="L24" i="29"/>
  <c r="K24" i="29"/>
  <c r="J24" i="29"/>
  <c r="I24" i="29"/>
  <c r="H24" i="29"/>
  <c r="G24" i="29"/>
  <c r="F24" i="29"/>
  <c r="D24" i="29"/>
  <c r="Q23" i="29"/>
  <c r="U14" i="16" l="1"/>
  <c r="M26" i="19" l="1"/>
  <c r="O17" i="18"/>
  <c r="N17" i="18"/>
  <c r="J12" i="16"/>
  <c r="K38" i="29" l="1"/>
  <c r="Q38" i="29" s="1"/>
  <c r="V16" i="24" l="1"/>
  <c r="E16" i="36"/>
  <c r="C58" i="84" l="1"/>
  <c r="L8" i="11"/>
  <c r="P15" i="24" l="1"/>
  <c r="X16" i="24"/>
  <c r="X16" i="23"/>
  <c r="Y16" i="23"/>
  <c r="Z16" i="23"/>
  <c r="AA16" i="23"/>
  <c r="U29" i="19"/>
  <c r="AA9" i="19"/>
  <c r="AA14" i="16"/>
  <c r="Q6" i="21" l="1"/>
  <c r="P6" i="21"/>
  <c r="P15" i="20"/>
  <c r="P14" i="20"/>
  <c r="Q9" i="17"/>
  <c r="P9" i="17"/>
  <c r="K32" i="39" l="1"/>
  <c r="J32" i="39"/>
  <c r="K30" i="39"/>
  <c r="D14" i="36" l="1"/>
  <c r="G10" i="36"/>
  <c r="Q6" i="16" l="1"/>
  <c r="J13" i="16"/>
  <c r="J10" i="16"/>
  <c r="P10" i="16"/>
  <c r="G16" i="36" l="1"/>
  <c r="H9" i="102" l="1"/>
  <c r="F9" i="102"/>
  <c r="C9" i="102"/>
  <c r="G16" i="101"/>
  <c r="D16" i="101"/>
  <c r="C16" i="101"/>
  <c r="H15" i="101"/>
  <c r="F15" i="101"/>
  <c r="H14" i="101"/>
  <c r="F14" i="101"/>
  <c r="H13" i="101"/>
  <c r="F13" i="101"/>
  <c r="H11" i="101"/>
  <c r="F11" i="101"/>
  <c r="H10" i="101"/>
  <c r="F10" i="101"/>
  <c r="H9" i="101"/>
  <c r="F9" i="101"/>
  <c r="H8" i="101"/>
  <c r="F8" i="101"/>
  <c r="H7" i="101"/>
  <c r="F7" i="101"/>
  <c r="H6" i="101"/>
  <c r="F6" i="101"/>
  <c r="F5" i="101"/>
  <c r="D8" i="100"/>
  <c r="C8" i="100"/>
  <c r="H7" i="100"/>
  <c r="F7" i="100"/>
  <c r="H6" i="100"/>
  <c r="G5" i="100"/>
  <c r="E5" i="100"/>
  <c r="F5" i="100" s="1"/>
  <c r="F39" i="99"/>
  <c r="F38" i="99"/>
  <c r="F14" i="99"/>
  <c r="H5" i="100" l="1"/>
  <c r="I5" i="100"/>
  <c r="I8" i="100" s="1"/>
  <c r="H9" i="84"/>
  <c r="K9" i="84" s="1"/>
  <c r="H16" i="101"/>
  <c r="G8" i="100"/>
  <c r="C12" i="87" s="1"/>
  <c r="E16" i="101"/>
  <c r="F16" i="101" s="1"/>
  <c r="E12" i="87" l="1"/>
  <c r="D12" i="87"/>
  <c r="H8" i="100"/>
  <c r="F55" i="84" l="1"/>
  <c r="F50" i="84"/>
  <c r="E49" i="36" s="1"/>
  <c r="Z14" i="16" l="1"/>
  <c r="Q16" i="39"/>
  <c r="I20" i="89"/>
  <c r="E20" i="89"/>
  <c r="H21" i="17" l="1"/>
  <c r="P13" i="16" l="1"/>
  <c r="S19" i="26" l="1"/>
  <c r="Q21" i="17" l="1"/>
  <c r="P21" i="17"/>
  <c r="L13" i="11"/>
  <c r="P34" i="24" l="1"/>
  <c r="E6" i="100" l="1"/>
  <c r="F6" i="100" l="1"/>
  <c r="E8" i="100"/>
  <c r="F8" i="100" s="1"/>
  <c r="Q6" i="14"/>
  <c r="M6" i="14"/>
  <c r="L6" i="11" s="1"/>
  <c r="L6" i="14"/>
  <c r="K6" i="14"/>
  <c r="S8" i="18" l="1"/>
  <c r="U40" i="25"/>
  <c r="I19" i="89" s="1"/>
  <c r="T40" i="25"/>
  <c r="U19" i="25"/>
  <c r="I18" i="89" s="1"/>
  <c r="T19" i="25"/>
  <c r="U41" i="29"/>
  <c r="T41" i="29"/>
  <c r="I16" i="89"/>
  <c r="U40" i="35"/>
  <c r="I15" i="89" s="1"/>
  <c r="T40" i="35"/>
  <c r="U23" i="35"/>
  <c r="I14" i="89" s="1"/>
  <c r="T23" i="35"/>
  <c r="I13" i="89"/>
  <c r="I12" i="89"/>
  <c r="U47" i="27"/>
  <c r="I11" i="89" s="1"/>
  <c r="T47" i="27"/>
  <c r="I10" i="89"/>
  <c r="I9" i="89"/>
  <c r="I7" i="89"/>
  <c r="U19" i="26"/>
  <c r="T19" i="26"/>
  <c r="I6" i="89" l="1"/>
  <c r="T14" i="24"/>
  <c r="T16" i="24" s="1"/>
  <c r="O52" i="11" s="1"/>
  <c r="H51" i="84" s="1" a="1"/>
  <c r="H51" i="84" s="1"/>
  <c r="K51" i="84" s="1"/>
  <c r="I8" i="89"/>
  <c r="I21" i="89"/>
  <c r="I17" i="89"/>
  <c r="S14" i="24"/>
  <c r="I5" i="89"/>
  <c r="AA19" i="18"/>
  <c r="W8" i="18"/>
  <c r="U8" i="18"/>
  <c r="I22" i="89" l="1"/>
  <c r="L12" i="11"/>
  <c r="P6" i="17" l="1"/>
  <c r="C22" i="89" l="1"/>
  <c r="Q41" i="39" l="1"/>
  <c r="Q40" i="39"/>
  <c r="Q39" i="39"/>
  <c r="Q38" i="39"/>
  <c r="Q37" i="39"/>
  <c r="Q36" i="39"/>
  <c r="Q35" i="39"/>
  <c r="Q34" i="39"/>
  <c r="Q33" i="39"/>
  <c r="Q32" i="39"/>
  <c r="Q31" i="39"/>
  <c r="J31" i="39"/>
  <c r="P30" i="39"/>
  <c r="N30" i="39"/>
  <c r="Q30" i="39" s="1"/>
  <c r="Q29" i="39"/>
  <c r="P29" i="39"/>
  <c r="O29" i="39"/>
  <c r="P28" i="39"/>
  <c r="N28" i="39"/>
  <c r="K28" i="39"/>
  <c r="Q28" i="39" s="1"/>
  <c r="Q27" i="39"/>
  <c r="Q39" i="25"/>
  <c r="Q38" i="25"/>
  <c r="Q37" i="25"/>
  <c r="Q36" i="25"/>
  <c r="Q35" i="25"/>
  <c r="Q34" i="25"/>
  <c r="Q33" i="25"/>
  <c r="Q32" i="25"/>
  <c r="Q31" i="25"/>
  <c r="Q30" i="25"/>
  <c r="Q29" i="25"/>
  <c r="N28" i="25"/>
  <c r="Q28" i="25" s="1"/>
  <c r="Q27" i="25"/>
  <c r="Q18" i="25"/>
  <c r="Q17" i="25"/>
  <c r="Q16" i="25"/>
  <c r="Q15" i="25"/>
  <c r="Q14" i="25"/>
  <c r="Q13" i="25"/>
  <c r="Q12" i="25"/>
  <c r="Q11" i="25"/>
  <c r="Q10" i="25"/>
  <c r="Q9" i="25"/>
  <c r="K8" i="25"/>
  <c r="Q8" i="25" s="1"/>
  <c r="Q7" i="25"/>
  <c r="Q6" i="25"/>
  <c r="Q40" i="29"/>
  <c r="Q39" i="29"/>
  <c r="Q37" i="29"/>
  <c r="Q36" i="29"/>
  <c r="Q35" i="29"/>
  <c r="Q34" i="29"/>
  <c r="Q33" i="29"/>
  <c r="Q32" i="29"/>
  <c r="Q22" i="29"/>
  <c r="Q24" i="29" s="1"/>
  <c r="Q21" i="29"/>
  <c r="Q20" i="29"/>
  <c r="Q19" i="29"/>
  <c r="Q18" i="29"/>
  <c r="Q17" i="29"/>
  <c r="Q16" i="29"/>
  <c r="Q15" i="29"/>
  <c r="Q14" i="29"/>
  <c r="Q13" i="29"/>
  <c r="Q12" i="29"/>
  <c r="Q11" i="29"/>
  <c r="Q10" i="29"/>
  <c r="Q9" i="29"/>
  <c r="Q8" i="29"/>
  <c r="Q7" i="29"/>
  <c r="Q6" i="29"/>
  <c r="E16" i="89"/>
  <c r="Q22" i="35"/>
  <c r="Q21" i="35"/>
  <c r="Q20" i="35"/>
  <c r="Q19" i="35"/>
  <c r="Q18" i="35"/>
  <c r="Q17" i="35"/>
  <c r="Q16" i="35"/>
  <c r="Q15" i="35"/>
  <c r="Q14" i="35"/>
  <c r="Q13" i="35"/>
  <c r="Q12" i="35"/>
  <c r="Q11" i="35"/>
  <c r="Q10" i="35"/>
  <c r="Q9" i="35"/>
  <c r="Q8" i="35"/>
  <c r="Q7" i="35"/>
  <c r="Q6" i="35"/>
  <c r="Q15" i="54"/>
  <c r="Q14" i="54"/>
  <c r="Q13" i="54"/>
  <c r="Q12" i="54"/>
  <c r="Q11" i="54"/>
  <c r="Q10" i="54"/>
  <c r="Q9" i="54"/>
  <c r="Q8" i="54"/>
  <c r="Q7" i="54"/>
  <c r="Q6" i="54"/>
  <c r="Q46" i="27"/>
  <c r="Q45" i="27"/>
  <c r="Q44" i="27"/>
  <c r="Q43" i="27"/>
  <c r="N42" i="27"/>
  <c r="Q41" i="27"/>
  <c r="Q40" i="27"/>
  <c r="P40" i="27"/>
  <c r="P39" i="27"/>
  <c r="N39" i="27"/>
  <c r="Q39" i="27" s="1"/>
  <c r="Q38" i="27"/>
  <c r="Q37" i="27"/>
  <c r="Q36" i="27"/>
  <c r="P36" i="27"/>
  <c r="Q35" i="27"/>
  <c r="P35" i="27"/>
  <c r="O35" i="27"/>
  <c r="Q34" i="27"/>
  <c r="Q33" i="27"/>
  <c r="Q32" i="27"/>
  <c r="Q50" i="44"/>
  <c r="Q49" i="44"/>
  <c r="Q48" i="44"/>
  <c r="Q47" i="44"/>
  <c r="Q46" i="44"/>
  <c r="Q45" i="44"/>
  <c r="Q44" i="44"/>
  <c r="Q43" i="44"/>
  <c r="Q42" i="44"/>
  <c r="Q41" i="44"/>
  <c r="Q40" i="44"/>
  <c r="Q39" i="44"/>
  <c r="Q38" i="44"/>
  <c r="Q37" i="44"/>
  <c r="Q36" i="44"/>
  <c r="Q35" i="44"/>
  <c r="Q33" i="44"/>
  <c r="N32" i="44"/>
  <c r="Q32" i="44" s="1"/>
  <c r="Q30" i="44"/>
  <c r="Q29" i="44"/>
  <c r="Q28" i="44"/>
  <c r="Q18" i="44"/>
  <c r="Q17" i="44"/>
  <c r="Q16" i="44"/>
  <c r="Q15" i="44"/>
  <c r="Q14" i="44"/>
  <c r="Q13" i="44"/>
  <c r="Q12" i="44"/>
  <c r="Q11" i="44"/>
  <c r="Q10" i="44"/>
  <c r="Q9" i="44"/>
  <c r="Q8" i="44"/>
  <c r="Q7" i="44"/>
  <c r="Q6" i="44"/>
  <c r="Q33" i="26"/>
  <c r="Q35" i="26" s="1"/>
  <c r="Q32" i="26"/>
  <c r="Q31" i="26"/>
  <c r="Q30" i="26"/>
  <c r="Q29" i="26"/>
  <c r="Q28" i="26"/>
  <c r="Q27" i="26"/>
  <c r="Q18" i="26"/>
  <c r="Q17" i="26"/>
  <c r="Q16" i="26"/>
  <c r="Q15" i="26"/>
  <c r="Q14" i="26"/>
  <c r="Q13" i="26"/>
  <c r="Q12" i="26"/>
  <c r="Q11" i="26"/>
  <c r="Q10" i="26"/>
  <c r="Q9" i="26"/>
  <c r="Q8" i="26"/>
  <c r="Q7" i="26"/>
  <c r="Q6" i="26"/>
  <c r="Q10" i="46"/>
  <c r="Q8" i="46"/>
  <c r="Q7" i="46"/>
  <c r="Q6" i="46"/>
  <c r="Q20" i="44" l="1"/>
  <c r="C31" i="17" l="1"/>
  <c r="F30" i="99" s="1"/>
  <c r="F101" i="99" s="1"/>
  <c r="Q41" i="29" l="1"/>
  <c r="S41" i="29"/>
  <c r="R41" i="29"/>
  <c r="P41" i="29"/>
  <c r="O41" i="29"/>
  <c r="N41" i="29"/>
  <c r="E17" i="89" s="1"/>
  <c r="M41" i="29"/>
  <c r="L41" i="29"/>
  <c r="K41" i="29"/>
  <c r="J41" i="29"/>
  <c r="I41" i="29"/>
  <c r="H41" i="29"/>
  <c r="G41" i="29"/>
  <c r="F41" i="29"/>
  <c r="D41" i="29"/>
  <c r="E57" i="84" l="1"/>
  <c r="Q51" i="20"/>
  <c r="P12" i="16" l="1"/>
  <c r="P42" i="20" l="1"/>
  <c r="L16" i="18"/>
  <c r="K16" i="18"/>
  <c r="Q15" i="39"/>
  <c r="Q14" i="39"/>
  <c r="Q13" i="39"/>
  <c r="Q12" i="39"/>
  <c r="Q11" i="39"/>
  <c r="Q10" i="39"/>
  <c r="Q9" i="39"/>
  <c r="Q8" i="39"/>
  <c r="Q7" i="39"/>
  <c r="Q6" i="39"/>
  <c r="Q39" i="35"/>
  <c r="Q38" i="35"/>
  <c r="Q37" i="35"/>
  <c r="Q36" i="35"/>
  <c r="Q35" i="35"/>
  <c r="Q34" i="35"/>
  <c r="Q33" i="35"/>
  <c r="Q32" i="35"/>
  <c r="N31" i="35"/>
  <c r="Q31" i="35" s="1"/>
  <c r="Q32" i="54"/>
  <c r="Q31" i="54"/>
  <c r="Q30" i="54"/>
  <c r="Q29" i="54"/>
  <c r="P29" i="54"/>
  <c r="Q28" i="54"/>
  <c r="P27" i="54"/>
  <c r="P34" i="54" s="1"/>
  <c r="N27" i="54"/>
  <c r="Q26" i="54"/>
  <c r="Q25" i="54"/>
  <c r="Q21" i="27"/>
  <c r="Q20" i="27"/>
  <c r="Q19" i="27"/>
  <c r="Q18" i="27"/>
  <c r="Q17" i="27"/>
  <c r="Q16" i="27"/>
  <c r="Q15" i="27"/>
  <c r="Q14" i="27"/>
  <c r="Q13" i="27"/>
  <c r="Q12" i="27"/>
  <c r="Q11" i="27"/>
  <c r="Q10" i="27"/>
  <c r="Q9" i="27"/>
  <c r="Q7" i="27"/>
  <c r="Q6" i="27"/>
  <c r="Q9" i="46"/>
  <c r="H22" i="89"/>
  <c r="J22" i="89" s="1"/>
  <c r="D22" i="89"/>
  <c r="J21" i="89"/>
  <c r="K21" i="89" s="1"/>
  <c r="J20" i="89"/>
  <c r="K20" i="89" s="1"/>
  <c r="F20" i="89"/>
  <c r="G20" i="89" s="1"/>
  <c r="J19" i="89"/>
  <c r="K19" i="89" s="1"/>
  <c r="J18" i="89"/>
  <c r="K18" i="89" s="1"/>
  <c r="J17" i="89"/>
  <c r="K17" i="89" s="1"/>
  <c r="G17" i="89"/>
  <c r="J16" i="89"/>
  <c r="K16" i="89" s="1"/>
  <c r="F16" i="89"/>
  <c r="G16" i="89" s="1"/>
  <c r="J15" i="89"/>
  <c r="K15" i="89" s="1"/>
  <c r="J14" i="89"/>
  <c r="K14" i="89" s="1"/>
  <c r="J13" i="89"/>
  <c r="K13" i="89" s="1"/>
  <c r="J12" i="89"/>
  <c r="K12" i="89" s="1"/>
  <c r="J11" i="89"/>
  <c r="K11" i="89" s="1"/>
  <c r="J10" i="89"/>
  <c r="K10" i="89" s="1"/>
  <c r="J9" i="89"/>
  <c r="K9" i="89" s="1"/>
  <c r="J8" i="89"/>
  <c r="K8" i="89" s="1"/>
  <c r="J7" i="89"/>
  <c r="K7" i="89" s="1"/>
  <c r="J6" i="89"/>
  <c r="K6" i="89" s="1"/>
  <c r="J5" i="89"/>
  <c r="F4" i="88"/>
  <c r="D4" i="88"/>
  <c r="Q18" i="39" l="1"/>
  <c r="Q27" i="54"/>
  <c r="Q34" i="54" s="1"/>
  <c r="N34" i="54"/>
  <c r="K5" i="89"/>
  <c r="G49" i="41"/>
  <c r="G229" i="41" s="1"/>
  <c r="D32" i="44"/>
  <c r="P6" i="19" l="1"/>
  <c r="P15" i="14" l="1"/>
  <c r="P6" i="14"/>
  <c r="AA34" i="17" l="1"/>
  <c r="D57" i="36" l="1"/>
  <c r="B22" i="89"/>
  <c r="K22" i="89" s="1"/>
  <c r="B8" i="88"/>
  <c r="P35" i="23" l="1"/>
  <c r="P7" i="23"/>
  <c r="P26" i="19" l="1"/>
  <c r="F9" i="17"/>
  <c r="P17" i="18" l="1"/>
  <c r="E13" i="89"/>
  <c r="F13" i="89" s="1"/>
  <c r="G13" i="89" s="1"/>
  <c r="E9" i="89"/>
  <c r="F9" i="89" s="1"/>
  <c r="G9" i="89" s="1"/>
  <c r="P23" i="35"/>
  <c r="O23" i="35"/>
  <c r="S23" i="35"/>
  <c r="R23" i="35"/>
  <c r="N23" i="35"/>
  <c r="E14" i="89" s="1"/>
  <c r="F14" i="89" s="1"/>
  <c r="G14" i="89" s="1"/>
  <c r="M23" i="35"/>
  <c r="L23" i="35"/>
  <c r="J23" i="35"/>
  <c r="I23" i="35"/>
  <c r="H23" i="35"/>
  <c r="G23" i="35"/>
  <c r="F23" i="35"/>
  <c r="D23" i="35"/>
  <c r="E7" i="89"/>
  <c r="F7" i="89" s="1"/>
  <c r="G7" i="89" s="1"/>
  <c r="P44" i="23"/>
  <c r="P15" i="21"/>
  <c r="P17" i="19"/>
  <c r="Q16" i="20" l="1"/>
  <c r="M16" i="20"/>
  <c r="N16" i="20"/>
  <c r="I7" i="17" l="1"/>
  <c r="L7" i="17"/>
  <c r="N7" i="17"/>
  <c r="P7" i="17" l="1"/>
  <c r="Q20" i="17"/>
  <c r="I23" i="17"/>
  <c r="Q23" i="17" l="1"/>
  <c r="P52" i="23"/>
  <c r="Q7" i="23"/>
  <c r="Q6" i="23"/>
  <c r="Q15" i="21"/>
  <c r="N16" i="18"/>
  <c r="Q16" i="18"/>
  <c r="J7" i="16" l="1"/>
  <c r="Q24" i="23" l="1"/>
  <c r="O16" i="18" l="1"/>
  <c r="O7" i="17" l="1"/>
  <c r="Q6" i="20" l="1"/>
  <c r="G54" i="36"/>
  <c r="E21" i="89" l="1"/>
  <c r="F21" i="89" s="1"/>
  <c r="G21" i="89" s="1"/>
  <c r="E12" i="89"/>
  <c r="R19" i="26"/>
  <c r="P19" i="26"/>
  <c r="O19" i="26"/>
  <c r="N19" i="26"/>
  <c r="E6" i="89" s="1"/>
  <c r="F6" i="89" s="1"/>
  <c r="G6" i="89" s="1"/>
  <c r="M19" i="26"/>
  <c r="L19" i="26"/>
  <c r="K19" i="26"/>
  <c r="J19" i="26"/>
  <c r="I19" i="26"/>
  <c r="H19" i="26"/>
  <c r="G19" i="26"/>
  <c r="F19" i="26"/>
  <c r="D19" i="26"/>
  <c r="F12" i="89" l="1"/>
  <c r="G12" i="89" s="1"/>
  <c r="P16" i="20"/>
  <c r="D19" i="25"/>
  <c r="S19" i="25"/>
  <c r="R19" i="25"/>
  <c r="P19" i="25"/>
  <c r="O19" i="25"/>
  <c r="N19" i="25"/>
  <c r="E18" i="89" s="1"/>
  <c r="F18" i="89" s="1"/>
  <c r="G18" i="89" s="1"/>
  <c r="M19" i="25"/>
  <c r="L19" i="25"/>
  <c r="J19" i="25"/>
  <c r="I19" i="25"/>
  <c r="H19" i="25"/>
  <c r="G19" i="25"/>
  <c r="F19" i="25"/>
  <c r="S40" i="25"/>
  <c r="R40" i="25"/>
  <c r="P40" i="25"/>
  <c r="O40" i="25"/>
  <c r="N40" i="25"/>
  <c r="E19" i="89" s="1"/>
  <c r="F19" i="89" s="1"/>
  <c r="G19" i="89" s="1"/>
  <c r="M40" i="25"/>
  <c r="L40" i="25"/>
  <c r="K40" i="25"/>
  <c r="J40" i="25"/>
  <c r="I40" i="25"/>
  <c r="H40" i="25"/>
  <c r="G40" i="25"/>
  <c r="F40" i="25"/>
  <c r="D40" i="25"/>
  <c r="O46" i="11" l="1"/>
  <c r="E19" i="18" l="1"/>
  <c r="F19" i="18"/>
  <c r="G19" i="18"/>
  <c r="H19" i="18"/>
  <c r="I19" i="18"/>
  <c r="J19" i="18"/>
  <c r="K19" i="18"/>
  <c r="L19" i="18"/>
  <c r="M19" i="18"/>
  <c r="N19" i="18"/>
  <c r="O19" i="18"/>
  <c r="R19" i="18"/>
  <c r="S19" i="18"/>
  <c r="T19" i="18"/>
  <c r="V19" i="18"/>
  <c r="X19" i="18"/>
  <c r="Y19" i="18"/>
  <c r="Z19" i="18"/>
  <c r="C19" i="18"/>
  <c r="E8" i="89" l="1"/>
  <c r="F8" i="89" s="1"/>
  <c r="G8" i="89" s="1"/>
  <c r="K19" i="25" l="1"/>
  <c r="V7" i="14"/>
  <c r="W7" i="14"/>
  <c r="X7" i="14"/>
  <c r="Y7" i="14"/>
  <c r="Z7" i="14"/>
  <c r="AA7" i="14"/>
  <c r="V9" i="19" l="1"/>
  <c r="W9" i="19"/>
  <c r="X9" i="19"/>
  <c r="Z9" i="19"/>
  <c r="S40" i="35" l="1"/>
  <c r="R40" i="35"/>
  <c r="P40" i="35"/>
  <c r="O40" i="35"/>
  <c r="N40" i="35"/>
  <c r="E15" i="89" s="1"/>
  <c r="F15" i="89" s="1"/>
  <c r="G15" i="89" s="1"/>
  <c r="M40" i="35"/>
  <c r="L40" i="35"/>
  <c r="K40" i="35"/>
  <c r="J40" i="35"/>
  <c r="I40" i="35"/>
  <c r="H40" i="35"/>
  <c r="G40" i="35"/>
  <c r="F40" i="35"/>
  <c r="D40" i="35"/>
  <c r="F14" i="16" l="1"/>
  <c r="G14" i="16"/>
  <c r="H14" i="16"/>
  <c r="K14" i="16"/>
  <c r="L14" i="16"/>
  <c r="M14" i="16"/>
  <c r="N14" i="16"/>
  <c r="O14" i="16"/>
  <c r="Q14" i="16"/>
  <c r="R14" i="16"/>
  <c r="S14" i="16"/>
  <c r="T14" i="16"/>
  <c r="V14" i="16"/>
  <c r="W14" i="16"/>
  <c r="X14" i="16"/>
  <c r="Y14" i="16"/>
  <c r="E14" i="16"/>
  <c r="T25" i="16" l="1"/>
  <c r="U16" i="24"/>
  <c r="W16" i="24"/>
  <c r="Y16" i="24"/>
  <c r="Z16" i="24"/>
  <c r="AA7" i="43"/>
  <c r="Z7" i="43"/>
  <c r="Y7" i="43"/>
  <c r="X7" i="43"/>
  <c r="W7" i="43"/>
  <c r="V7" i="43"/>
  <c r="Z35" i="24"/>
  <c r="Y35" i="24"/>
  <c r="X35" i="24"/>
  <c r="W35" i="24"/>
  <c r="V35" i="24"/>
  <c r="U35" i="24"/>
  <c r="Z26" i="24"/>
  <c r="Y26" i="24"/>
  <c r="X26" i="24"/>
  <c r="W26" i="24"/>
  <c r="V26" i="24"/>
  <c r="U26" i="24"/>
  <c r="Z7" i="24"/>
  <c r="Y7" i="24"/>
  <c r="X7" i="24"/>
  <c r="W7" i="24"/>
  <c r="V7" i="24"/>
  <c r="U7" i="24"/>
  <c r="V8" i="23"/>
  <c r="W8" i="23"/>
  <c r="X8" i="23"/>
  <c r="Y8" i="23"/>
  <c r="Z8" i="23"/>
  <c r="AA8" i="23"/>
  <c r="W16" i="23"/>
  <c r="V16" i="23"/>
  <c r="AA25" i="23"/>
  <c r="Z25" i="23"/>
  <c r="Y25" i="23"/>
  <c r="X25" i="23"/>
  <c r="W25" i="23"/>
  <c r="V25" i="23"/>
  <c r="AA36" i="23"/>
  <c r="Z36" i="23"/>
  <c r="Y36" i="23"/>
  <c r="X36" i="23"/>
  <c r="W36" i="23"/>
  <c r="V36" i="23"/>
  <c r="AA45" i="23"/>
  <c r="Z45" i="23"/>
  <c r="Y45" i="23"/>
  <c r="X45" i="23"/>
  <c r="W45" i="23"/>
  <c r="V45" i="23"/>
  <c r="AA53" i="23"/>
  <c r="Z53" i="23"/>
  <c r="Y53" i="23"/>
  <c r="X53" i="23"/>
  <c r="W53" i="23"/>
  <c r="V53" i="23"/>
  <c r="AA7" i="42"/>
  <c r="Z7" i="42"/>
  <c r="Y7" i="42"/>
  <c r="X7" i="42"/>
  <c r="W7" i="42"/>
  <c r="V7" i="42"/>
  <c r="AA7" i="22"/>
  <c r="Z7" i="22"/>
  <c r="Y7" i="22"/>
  <c r="X7" i="22"/>
  <c r="W7" i="22"/>
  <c r="V7" i="22"/>
  <c r="AA16" i="21"/>
  <c r="Z16" i="21"/>
  <c r="Y16" i="21"/>
  <c r="X16" i="21"/>
  <c r="W16" i="21"/>
  <c r="V16" i="21"/>
  <c r="AA7" i="21"/>
  <c r="Z7" i="21"/>
  <c r="Y7" i="21"/>
  <c r="X7" i="21"/>
  <c r="W7" i="21"/>
  <c r="V7" i="21"/>
  <c r="AA52" i="20"/>
  <c r="Z52" i="20"/>
  <c r="Y52" i="20"/>
  <c r="X52" i="20"/>
  <c r="W52" i="20"/>
  <c r="V52" i="20"/>
  <c r="AA43" i="20"/>
  <c r="Z43" i="20"/>
  <c r="Y43" i="20"/>
  <c r="X43" i="20"/>
  <c r="W43" i="20"/>
  <c r="V43" i="20"/>
  <c r="AA35" i="20"/>
  <c r="Z35" i="20"/>
  <c r="Y35" i="20"/>
  <c r="X35" i="20"/>
  <c r="W35" i="20"/>
  <c r="V35" i="20"/>
  <c r="W26" i="20"/>
  <c r="X26" i="20"/>
  <c r="Y26" i="20"/>
  <c r="Z26" i="20"/>
  <c r="AA26" i="20"/>
  <c r="V26" i="20"/>
  <c r="V16" i="20"/>
  <c r="W16" i="20"/>
  <c r="X16" i="20"/>
  <c r="Y16" i="20"/>
  <c r="Z16" i="20"/>
  <c r="AA16" i="20"/>
  <c r="V7" i="20"/>
  <c r="W7" i="20"/>
  <c r="X7" i="20"/>
  <c r="Y7" i="20"/>
  <c r="Z7" i="20"/>
  <c r="AA7" i="20"/>
  <c r="W29" i="19"/>
  <c r="X29" i="19"/>
  <c r="Y29" i="19"/>
  <c r="Z29" i="19"/>
  <c r="AA29" i="19"/>
  <c r="V29" i="19"/>
  <c r="W18" i="19"/>
  <c r="X18" i="19"/>
  <c r="Z18" i="19"/>
  <c r="V18" i="19"/>
  <c r="W34" i="17"/>
  <c r="X34" i="17"/>
  <c r="Y34" i="17"/>
  <c r="Z34" i="17"/>
  <c r="V34" i="17"/>
  <c r="V23" i="17"/>
  <c r="V12" i="17"/>
  <c r="X12" i="17"/>
  <c r="Y12" i="17"/>
  <c r="Z12" i="17"/>
  <c r="AA12" i="17"/>
  <c r="V8" i="18"/>
  <c r="X8" i="18"/>
  <c r="Y8" i="18"/>
  <c r="Z8" i="18"/>
  <c r="AA8" i="18"/>
  <c r="V25" i="16"/>
  <c r="W25" i="16"/>
  <c r="X25" i="16"/>
  <c r="Y25" i="16"/>
  <c r="Z25" i="16"/>
  <c r="AA25" i="16"/>
  <c r="V16" i="14"/>
  <c r="W16" i="14"/>
  <c r="X16" i="14"/>
  <c r="U53" i="23"/>
  <c r="T53" i="23"/>
  <c r="S53" i="23"/>
  <c r="R53" i="23"/>
  <c r="O53" i="23"/>
  <c r="N53" i="23"/>
  <c r="M53" i="23"/>
  <c r="L53" i="23"/>
  <c r="K53" i="23"/>
  <c r="J53" i="23"/>
  <c r="I53" i="23"/>
  <c r="H53" i="23"/>
  <c r="G53" i="23"/>
  <c r="F53" i="23"/>
  <c r="E53" i="23"/>
  <c r="C53" i="23"/>
  <c r="Q53" i="23"/>
  <c r="P53" i="23"/>
  <c r="U45" i="23"/>
  <c r="T45" i="23"/>
  <c r="S45" i="23"/>
  <c r="R45" i="23"/>
  <c r="O45" i="23"/>
  <c r="N45" i="23"/>
  <c r="M45" i="23"/>
  <c r="L45" i="23"/>
  <c r="K45" i="23"/>
  <c r="J45" i="23"/>
  <c r="I45" i="23"/>
  <c r="H45" i="23"/>
  <c r="G45" i="23"/>
  <c r="F45" i="23"/>
  <c r="E45" i="23"/>
  <c r="C45" i="23"/>
  <c r="Q45" i="23"/>
  <c r="P45" i="23"/>
  <c r="U36" i="23"/>
  <c r="T36" i="23"/>
  <c r="S36" i="23"/>
  <c r="R36" i="23"/>
  <c r="Q36" i="23"/>
  <c r="O36" i="23"/>
  <c r="N36" i="23"/>
  <c r="M36" i="23"/>
  <c r="L36" i="23"/>
  <c r="K36" i="23"/>
  <c r="J36" i="23"/>
  <c r="I36" i="23"/>
  <c r="H36" i="23"/>
  <c r="G36" i="23"/>
  <c r="F36" i="23"/>
  <c r="E36" i="23"/>
  <c r="C36" i="23"/>
  <c r="P36" i="23"/>
  <c r="U25" i="23"/>
  <c r="T25" i="23"/>
  <c r="R25" i="23"/>
  <c r="P25" i="23"/>
  <c r="O25" i="23"/>
  <c r="N25" i="23"/>
  <c r="M25" i="23"/>
  <c r="L25" i="23"/>
  <c r="K25" i="23"/>
  <c r="J25" i="23"/>
  <c r="I25" i="23"/>
  <c r="H25" i="23"/>
  <c r="G25" i="23"/>
  <c r="F25" i="23"/>
  <c r="E25" i="23"/>
  <c r="C25" i="23"/>
  <c r="Q25" i="23"/>
  <c r="U16" i="23"/>
  <c r="T16" i="23"/>
  <c r="S16" i="23"/>
  <c r="R16" i="23"/>
  <c r="P16" i="23"/>
  <c r="O16" i="23"/>
  <c r="N16" i="23"/>
  <c r="M16" i="23"/>
  <c r="E44" i="36" s="1"/>
  <c r="L16" i="23"/>
  <c r="K16" i="23"/>
  <c r="J16" i="23"/>
  <c r="I16" i="23"/>
  <c r="H16" i="23"/>
  <c r="G16" i="23"/>
  <c r="F16" i="23"/>
  <c r="E16" i="23"/>
  <c r="C16" i="23"/>
  <c r="Q16" i="23"/>
  <c r="U8" i="23"/>
  <c r="O45" i="11" s="1"/>
  <c r="T8" i="23"/>
  <c r="S8" i="23"/>
  <c r="R8" i="23"/>
  <c r="O8" i="23"/>
  <c r="N8" i="23"/>
  <c r="M8" i="23"/>
  <c r="L8" i="23"/>
  <c r="K8" i="23"/>
  <c r="J8" i="23"/>
  <c r="I8" i="23"/>
  <c r="H8" i="23"/>
  <c r="G8" i="23"/>
  <c r="F8" i="23"/>
  <c r="E8" i="23"/>
  <c r="C8" i="23"/>
  <c r="P8" i="23"/>
  <c r="Q8" i="23"/>
  <c r="C26" i="20" l="1"/>
  <c r="P23" i="16" l="1"/>
  <c r="G50" i="36"/>
  <c r="C6" i="16" l="1"/>
  <c r="C14" i="16" s="1"/>
  <c r="C16" i="14" l="1"/>
  <c r="E10" i="89"/>
  <c r="F10" i="89" s="1"/>
  <c r="G10" i="89" s="1"/>
  <c r="F34" i="17" l="1"/>
  <c r="G34" i="17"/>
  <c r="H34" i="17"/>
  <c r="I34" i="17"/>
  <c r="K34" i="17"/>
  <c r="L34" i="17"/>
  <c r="M34" i="17"/>
  <c r="N34" i="17"/>
  <c r="O34" i="17"/>
  <c r="R34" i="17"/>
  <c r="S34" i="17"/>
  <c r="T34" i="17"/>
  <c r="U34" i="17"/>
  <c r="E34" i="17"/>
  <c r="F16" i="14"/>
  <c r="G16" i="14"/>
  <c r="H16" i="14"/>
  <c r="I16" i="14"/>
  <c r="K16" i="14"/>
  <c r="L16" i="14"/>
  <c r="M16" i="14"/>
  <c r="L7" i="11" s="1"/>
  <c r="N16" i="14"/>
  <c r="O16" i="14"/>
  <c r="R16" i="14"/>
  <c r="S16" i="14"/>
  <c r="T16" i="14"/>
  <c r="U16" i="14"/>
  <c r="O7" i="11" s="1"/>
  <c r="E16" i="14"/>
  <c r="S47" i="27"/>
  <c r="R47" i="27"/>
  <c r="P47" i="27"/>
  <c r="O47" i="27"/>
  <c r="N47" i="27"/>
  <c r="E11" i="89" s="1"/>
  <c r="F11" i="89" s="1"/>
  <c r="G11" i="89" s="1"/>
  <c r="M47" i="27"/>
  <c r="L47" i="27"/>
  <c r="K47" i="27"/>
  <c r="J47" i="27"/>
  <c r="I47" i="27"/>
  <c r="H47" i="27"/>
  <c r="G47" i="27"/>
  <c r="F47" i="27"/>
  <c r="D47" i="27"/>
  <c r="E5" i="89"/>
  <c r="F5" i="89" l="1"/>
  <c r="E22" i="89"/>
  <c r="G5" i="89" l="1"/>
  <c r="F22" i="89"/>
  <c r="G22" i="89" s="1"/>
  <c r="P25" i="20"/>
  <c r="Q19" i="18"/>
  <c r="Q34" i="17"/>
  <c r="P34" i="17"/>
  <c r="P12" i="17" l="1"/>
  <c r="C34" i="17" l="1"/>
  <c r="J34" i="17"/>
  <c r="P19" i="18" l="1"/>
  <c r="E54" i="36"/>
  <c r="J59" i="11" l="1"/>
  <c r="O8" i="11" l="1"/>
  <c r="G22" i="36" l="1"/>
  <c r="C21" i="16" l="1"/>
  <c r="C25" i="16" l="1"/>
  <c r="Q16" i="14" l="1"/>
  <c r="P14" i="14"/>
  <c r="P16" i="14" s="1"/>
  <c r="Q6" i="43" l="1"/>
  <c r="Q7" i="43" s="1"/>
  <c r="Q7" i="22"/>
  <c r="Q16" i="21"/>
  <c r="R16" i="21"/>
  <c r="Q7" i="21"/>
  <c r="Q52" i="20"/>
  <c r="Q43" i="20"/>
  <c r="Q35" i="20"/>
  <c r="Q26" i="20"/>
  <c r="Q7" i="20"/>
  <c r="Q18" i="19"/>
  <c r="Q9" i="19"/>
  <c r="Q12" i="17"/>
  <c r="Q7" i="14"/>
  <c r="C23" i="17" l="1"/>
  <c r="I14" i="16" l="1"/>
  <c r="G55" i="36"/>
  <c r="G49" i="36"/>
  <c r="G48" i="36"/>
  <c r="G47" i="36"/>
  <c r="G46" i="36"/>
  <c r="G44" i="36"/>
  <c r="G43" i="36"/>
  <c r="G15" i="36"/>
  <c r="G17" i="36"/>
  <c r="G18" i="36"/>
  <c r="G19" i="36"/>
  <c r="G21" i="36"/>
  <c r="G23" i="36"/>
  <c r="G25" i="36"/>
  <c r="G26" i="36"/>
  <c r="C27" i="36"/>
  <c r="G27" i="36" s="1"/>
  <c r="G9" i="36"/>
  <c r="G11" i="36"/>
  <c r="G56" i="36" l="1"/>
  <c r="O11" i="11"/>
  <c r="F54" i="36" l="1"/>
  <c r="H34" i="84"/>
  <c r="K34" i="84" s="1"/>
  <c r="O57" i="11"/>
  <c r="O51" i="11"/>
  <c r="H50" i="84" s="1"/>
  <c r="I59" i="11"/>
  <c r="J50" i="84" l="1"/>
  <c r="K50" i="84"/>
  <c r="H56" i="84"/>
  <c r="K56" i="84" s="1"/>
  <c r="H55" i="84"/>
  <c r="H57" i="84"/>
  <c r="F57" i="84"/>
  <c r="G57" i="84" s="1"/>
  <c r="P6" i="24"/>
  <c r="J55" i="84" l="1"/>
  <c r="K55" i="84"/>
  <c r="J57" i="84"/>
  <c r="K57" i="84"/>
  <c r="E58" i="84"/>
  <c r="J56" i="84" l="1"/>
  <c r="E9" i="19" l="1"/>
  <c r="E12" i="17"/>
  <c r="E23" i="17"/>
  <c r="E16" i="20"/>
  <c r="U16" i="20"/>
  <c r="F16" i="20"/>
  <c r="G16" i="20"/>
  <c r="H16" i="20"/>
  <c r="I16" i="20"/>
  <c r="J16" i="20"/>
  <c r="K16" i="20"/>
  <c r="L16" i="20"/>
  <c r="O16" i="20"/>
  <c r="R16" i="20"/>
  <c r="S16" i="20"/>
  <c r="T16" i="20"/>
  <c r="C16" i="20"/>
  <c r="T57" i="11" l="1"/>
  <c r="C9" i="19" l="1"/>
  <c r="N59" i="11"/>
  <c r="F9" i="19" l="1"/>
  <c r="G9" i="19"/>
  <c r="I9" i="19"/>
  <c r="J9" i="19"/>
  <c r="K9" i="19"/>
  <c r="L9" i="19"/>
  <c r="M9" i="19"/>
  <c r="E14" i="36" s="1"/>
  <c r="G14" i="36" s="1"/>
  <c r="N9" i="19"/>
  <c r="O9" i="19"/>
  <c r="R9" i="19"/>
  <c r="S9" i="19"/>
  <c r="T9" i="19"/>
  <c r="L16" i="11" l="1"/>
  <c r="F15" i="84" l="1"/>
  <c r="U35" i="20"/>
  <c r="T35" i="20"/>
  <c r="S35" i="20"/>
  <c r="R35" i="20"/>
  <c r="O35" i="20"/>
  <c r="N35" i="20"/>
  <c r="M35" i="20"/>
  <c r="L35" i="20"/>
  <c r="K35" i="20"/>
  <c r="J35" i="20"/>
  <c r="I35" i="20"/>
  <c r="H35" i="20"/>
  <c r="G35" i="20"/>
  <c r="F35" i="20"/>
  <c r="E35" i="20"/>
  <c r="C35" i="20"/>
  <c r="P35" i="20"/>
  <c r="G55" i="84" l="1"/>
  <c r="F11" i="84"/>
  <c r="G11" i="84" s="1"/>
  <c r="F12" i="84"/>
  <c r="G12" i="84" s="1"/>
  <c r="O12" i="11"/>
  <c r="H12" i="84" l="1"/>
  <c r="H11" i="84"/>
  <c r="T13" i="11"/>
  <c r="T12" i="11"/>
  <c r="J11" i="84" l="1"/>
  <c r="K11" i="84"/>
  <c r="J12" i="84"/>
  <c r="K12" i="84"/>
  <c r="L22" i="11"/>
  <c r="F21" i="84" s="1"/>
  <c r="G21" i="84" s="1"/>
  <c r="G20" i="36" l="1"/>
  <c r="C57" i="36"/>
  <c r="M25" i="16"/>
  <c r="L9" i="11" s="1"/>
  <c r="F8" i="84" l="1"/>
  <c r="H9" i="19"/>
  <c r="G8" i="84" l="1"/>
  <c r="H7" i="84"/>
  <c r="J7" i="84" l="1"/>
  <c r="K7" i="84"/>
  <c r="T8" i="11"/>
  <c r="J9" i="84" l="1"/>
  <c r="T10" i="11"/>
  <c r="T12" i="17"/>
  <c r="O19" i="11"/>
  <c r="H18" i="84" s="1"/>
  <c r="H45" i="84"/>
  <c r="J18" i="84" l="1"/>
  <c r="K18" i="84"/>
  <c r="J45" i="84"/>
  <c r="K45" i="84"/>
  <c r="H17" i="84"/>
  <c r="T46" i="11"/>
  <c r="J17" i="84" l="1"/>
  <c r="K17" i="84"/>
  <c r="P9" i="19"/>
  <c r="L49" i="11" l="1"/>
  <c r="F48" i="84" s="1"/>
  <c r="G48" i="84" s="1"/>
  <c r="L48" i="11"/>
  <c r="F47" i="84" s="1"/>
  <c r="G47" i="84" s="1"/>
  <c r="L47" i="11"/>
  <c r="F46" i="84" s="1"/>
  <c r="G46" i="84" s="1"/>
  <c r="L46" i="11"/>
  <c r="L7" i="24"/>
  <c r="M7" i="24"/>
  <c r="K7" i="24"/>
  <c r="F45" i="84" l="1"/>
  <c r="G45" i="84" s="1"/>
  <c r="G50" i="84"/>
  <c r="F49" i="36" l="1"/>
  <c r="H21" i="16"/>
  <c r="K59" i="11" l="1"/>
  <c r="E17" i="36" l="1"/>
  <c r="F17" i="36" s="1"/>
  <c r="F16" i="36"/>
  <c r="F11" i="36"/>
  <c r="E10" i="36"/>
  <c r="F10" i="36" s="1"/>
  <c r="O17" i="11" l="1"/>
  <c r="O16" i="11"/>
  <c r="F51" i="36"/>
  <c r="K15" i="84" l="1"/>
  <c r="H16" i="84"/>
  <c r="J16" i="84" l="1"/>
  <c r="K16" i="84"/>
  <c r="J15" i="84"/>
  <c r="H44" i="84"/>
  <c r="J44" i="84" l="1"/>
  <c r="K44" i="84"/>
  <c r="E13" i="36"/>
  <c r="F13" i="36" l="1"/>
  <c r="G13" i="36"/>
  <c r="Q6" i="42"/>
  <c r="Q7" i="42" s="1"/>
  <c r="Q19" i="25" l="1"/>
  <c r="Q40" i="35" l="1"/>
  <c r="G35" i="24" l="1"/>
  <c r="H35" i="24"/>
  <c r="I35" i="24"/>
  <c r="E14" i="24"/>
  <c r="G26" i="24"/>
  <c r="H26" i="24"/>
  <c r="G7" i="24"/>
  <c r="H7" i="24"/>
  <c r="L14" i="24" l="1"/>
  <c r="O14" i="24"/>
  <c r="N14" i="24"/>
  <c r="G14" i="24"/>
  <c r="G16" i="24" s="1"/>
  <c r="K14" i="24"/>
  <c r="R14" i="24"/>
  <c r="M14" i="24"/>
  <c r="I14" i="24"/>
  <c r="I16" i="24" s="1"/>
  <c r="Q14" i="24"/>
  <c r="H14" i="24"/>
  <c r="H16" i="24" s="1"/>
  <c r="O27" i="11" l="1"/>
  <c r="O28" i="11"/>
  <c r="O29" i="11"/>
  <c r="H28" i="84" s="1"/>
  <c r="J28" i="84" l="1"/>
  <c r="K28" i="84"/>
  <c r="H26" i="84"/>
  <c r="H27" i="84"/>
  <c r="T27" i="11"/>
  <c r="T29" i="11"/>
  <c r="T28" i="11"/>
  <c r="J26" i="84" l="1"/>
  <c r="K26" i="84"/>
  <c r="J27" i="84"/>
  <c r="P8" i="18"/>
  <c r="E25" i="16"/>
  <c r="F7" i="84" l="1"/>
  <c r="E6" i="36"/>
  <c r="F6" i="36" l="1"/>
  <c r="G6" i="36"/>
  <c r="G7" i="84"/>
  <c r="U7" i="43" l="1"/>
  <c r="T7" i="43"/>
  <c r="S7" i="43"/>
  <c r="R7" i="43"/>
  <c r="P7" i="43"/>
  <c r="O7" i="43"/>
  <c r="N7" i="43"/>
  <c r="M7" i="43"/>
  <c r="L57" i="11" s="1"/>
  <c r="L7" i="43"/>
  <c r="K7" i="43"/>
  <c r="J7" i="43"/>
  <c r="I7" i="43"/>
  <c r="H7" i="43"/>
  <c r="G7" i="43"/>
  <c r="F7" i="43"/>
  <c r="E7" i="43"/>
  <c r="C7" i="43"/>
  <c r="T56" i="11"/>
  <c r="T58" i="11"/>
  <c r="U7" i="42"/>
  <c r="T7" i="42"/>
  <c r="S7" i="42"/>
  <c r="R7" i="42"/>
  <c r="O7" i="42"/>
  <c r="N7" i="42"/>
  <c r="M7" i="42"/>
  <c r="L7" i="42"/>
  <c r="K7" i="42"/>
  <c r="J7" i="42"/>
  <c r="I7" i="42"/>
  <c r="H7" i="42"/>
  <c r="G7" i="42"/>
  <c r="F7" i="42"/>
  <c r="E7" i="42"/>
  <c r="C7" i="42"/>
  <c r="P7" i="42"/>
  <c r="E55" i="36" l="1"/>
  <c r="F56" i="84"/>
  <c r="M7" i="21"/>
  <c r="E25" i="36" s="1"/>
  <c r="P16" i="21"/>
  <c r="F14" i="24"/>
  <c r="P23" i="17"/>
  <c r="L23" i="11"/>
  <c r="L19" i="11"/>
  <c r="L18" i="11"/>
  <c r="O23" i="11"/>
  <c r="H22" i="84" s="1"/>
  <c r="O22" i="11"/>
  <c r="H21" i="84" s="1"/>
  <c r="G16" i="21"/>
  <c r="H16" i="21"/>
  <c r="G7" i="21"/>
  <c r="H7" i="21"/>
  <c r="G7" i="22"/>
  <c r="H7" i="22"/>
  <c r="G26" i="20"/>
  <c r="H26" i="20"/>
  <c r="H43" i="20"/>
  <c r="G43" i="20"/>
  <c r="G7" i="20"/>
  <c r="H7" i="20"/>
  <c r="G52" i="20"/>
  <c r="H52" i="20"/>
  <c r="G29" i="19"/>
  <c r="H29" i="19"/>
  <c r="G8" i="18"/>
  <c r="H8" i="18"/>
  <c r="G25" i="16"/>
  <c r="H25" i="16"/>
  <c r="G7" i="14"/>
  <c r="H7" i="14"/>
  <c r="G18" i="19"/>
  <c r="H18" i="19"/>
  <c r="I18" i="19"/>
  <c r="G23" i="17"/>
  <c r="H23" i="17"/>
  <c r="G12" i="17"/>
  <c r="H12" i="17"/>
  <c r="T7" i="14"/>
  <c r="P7" i="24"/>
  <c r="L16" i="24"/>
  <c r="P35" i="24"/>
  <c r="C12" i="17"/>
  <c r="C7" i="22"/>
  <c r="F7" i="20"/>
  <c r="I7" i="20"/>
  <c r="J7" i="20"/>
  <c r="K7" i="20"/>
  <c r="L7" i="20"/>
  <c r="M7" i="20"/>
  <c r="N7" i="20"/>
  <c r="O7" i="20"/>
  <c r="R7" i="20"/>
  <c r="S7" i="20"/>
  <c r="T7" i="20"/>
  <c r="U7" i="20"/>
  <c r="O20" i="11" s="1"/>
  <c r="H19" i="84" s="1"/>
  <c r="E7" i="20"/>
  <c r="C7" i="20"/>
  <c r="P6" i="20"/>
  <c r="P7" i="20" s="1"/>
  <c r="O14" i="11"/>
  <c r="T8" i="18"/>
  <c r="R8" i="18"/>
  <c r="O8" i="18"/>
  <c r="N8" i="18"/>
  <c r="M8" i="18"/>
  <c r="Q6" i="18" s="1"/>
  <c r="L8" i="18"/>
  <c r="K8" i="18"/>
  <c r="J8" i="18"/>
  <c r="I8" i="18"/>
  <c r="F8" i="18"/>
  <c r="E8" i="18"/>
  <c r="C8" i="18"/>
  <c r="I25" i="16"/>
  <c r="P26" i="24"/>
  <c r="P7" i="21"/>
  <c r="I52" i="20"/>
  <c r="J52" i="20"/>
  <c r="P52" i="20"/>
  <c r="P43" i="20"/>
  <c r="C35" i="24"/>
  <c r="C16" i="24"/>
  <c r="U26" i="20"/>
  <c r="S26" i="20"/>
  <c r="T26" i="20"/>
  <c r="R26" i="20"/>
  <c r="H6" i="84"/>
  <c r="E5" i="36"/>
  <c r="G5" i="36" s="1"/>
  <c r="S12" i="17"/>
  <c r="J16" i="21"/>
  <c r="M35" i="24"/>
  <c r="T35" i="24"/>
  <c r="R35" i="24"/>
  <c r="F52" i="20"/>
  <c r="S35" i="24"/>
  <c r="Q35" i="24"/>
  <c r="O35" i="24"/>
  <c r="N35" i="24"/>
  <c r="L35" i="24"/>
  <c r="K35" i="24"/>
  <c r="J35" i="24"/>
  <c r="F35" i="24"/>
  <c r="E35" i="24"/>
  <c r="T26" i="24"/>
  <c r="S26" i="24"/>
  <c r="R26" i="24"/>
  <c r="Q26" i="24"/>
  <c r="O26" i="24"/>
  <c r="N26" i="24"/>
  <c r="M26" i="24"/>
  <c r="C6" i="88" s="1"/>
  <c r="D6" i="88" s="1"/>
  <c r="L26" i="24"/>
  <c r="K26" i="24"/>
  <c r="J26" i="24"/>
  <c r="I26" i="24"/>
  <c r="F26" i="24"/>
  <c r="E26" i="24"/>
  <c r="C26" i="24"/>
  <c r="T7" i="24"/>
  <c r="S7" i="24"/>
  <c r="R7" i="24"/>
  <c r="Q7" i="24"/>
  <c r="O7" i="24"/>
  <c r="N7" i="24"/>
  <c r="J7" i="24"/>
  <c r="I7" i="24"/>
  <c r="F7" i="24"/>
  <c r="E7" i="24"/>
  <c r="C7" i="24"/>
  <c r="O50" i="11"/>
  <c r="H49" i="84" s="1"/>
  <c r="O49" i="11"/>
  <c r="H48" i="84" s="1"/>
  <c r="E47" i="36"/>
  <c r="O48" i="11"/>
  <c r="H47" i="84" s="1"/>
  <c r="E46" i="36"/>
  <c r="F46" i="36" s="1"/>
  <c r="O47" i="11"/>
  <c r="H46" i="84" s="1"/>
  <c r="E45" i="36"/>
  <c r="F44" i="36"/>
  <c r="U7" i="22"/>
  <c r="T7" i="22"/>
  <c r="S7" i="22"/>
  <c r="R7" i="22"/>
  <c r="O7" i="22"/>
  <c r="N7" i="22"/>
  <c r="M7" i="22"/>
  <c r="L7" i="22"/>
  <c r="K7" i="22"/>
  <c r="J7" i="22"/>
  <c r="I7" i="22"/>
  <c r="F7" i="22"/>
  <c r="E7" i="22"/>
  <c r="P7" i="22"/>
  <c r="U16" i="21"/>
  <c r="T16" i="21"/>
  <c r="S16" i="21"/>
  <c r="O16" i="21"/>
  <c r="N16" i="21"/>
  <c r="M16" i="21"/>
  <c r="L28" i="11" s="1"/>
  <c r="L16" i="21"/>
  <c r="K16" i="21"/>
  <c r="I16" i="21"/>
  <c r="F16" i="21"/>
  <c r="E16" i="21"/>
  <c r="C16" i="21"/>
  <c r="U7" i="21"/>
  <c r="T7" i="21"/>
  <c r="S7" i="21"/>
  <c r="R7" i="21"/>
  <c r="O7" i="21"/>
  <c r="N7" i="21"/>
  <c r="L7" i="21"/>
  <c r="K7" i="21"/>
  <c r="J7" i="21"/>
  <c r="I7" i="21"/>
  <c r="F7" i="21"/>
  <c r="E7" i="21"/>
  <c r="C7" i="21"/>
  <c r="U52" i="20"/>
  <c r="O25" i="11" s="1"/>
  <c r="T52" i="20"/>
  <c r="S52" i="20"/>
  <c r="R52" i="20"/>
  <c r="O52" i="20"/>
  <c r="N52" i="20"/>
  <c r="M52" i="20"/>
  <c r="L52" i="20"/>
  <c r="K52" i="20"/>
  <c r="E52" i="20"/>
  <c r="C52" i="20"/>
  <c r="U43" i="20"/>
  <c r="T43" i="20"/>
  <c r="S43" i="20"/>
  <c r="R43" i="20"/>
  <c r="O43" i="20"/>
  <c r="N43" i="20"/>
  <c r="M43" i="20"/>
  <c r="L43" i="20"/>
  <c r="K43" i="20"/>
  <c r="J43" i="20"/>
  <c r="I43" i="20"/>
  <c r="F43" i="20"/>
  <c r="E43" i="20"/>
  <c r="C43" i="20"/>
  <c r="O26" i="20"/>
  <c r="N26" i="20"/>
  <c r="M26" i="20"/>
  <c r="E20" i="36" s="1"/>
  <c r="F20" i="36" s="1"/>
  <c r="L26" i="20"/>
  <c r="K26" i="20"/>
  <c r="J26" i="20"/>
  <c r="I26" i="20"/>
  <c r="F26" i="20"/>
  <c r="E26" i="20"/>
  <c r="P26" i="20"/>
  <c r="O21" i="11"/>
  <c r="H20" i="84" s="1"/>
  <c r="T29" i="19"/>
  <c r="S29" i="19"/>
  <c r="R29" i="19"/>
  <c r="O29" i="19"/>
  <c r="N29" i="19"/>
  <c r="M29" i="19"/>
  <c r="L29" i="19"/>
  <c r="K29" i="19"/>
  <c r="I29" i="19"/>
  <c r="F29" i="19"/>
  <c r="E29" i="19"/>
  <c r="C29" i="19"/>
  <c r="T18" i="19"/>
  <c r="S18" i="19"/>
  <c r="R18" i="19"/>
  <c r="O18" i="19"/>
  <c r="N18" i="19"/>
  <c r="M18" i="19"/>
  <c r="E15" i="36" s="1"/>
  <c r="F15" i="36" s="1"/>
  <c r="L18" i="19"/>
  <c r="K18" i="19"/>
  <c r="J18" i="19"/>
  <c r="F18" i="19"/>
  <c r="E18" i="19"/>
  <c r="C18" i="19"/>
  <c r="P18" i="19"/>
  <c r="O15" i="11"/>
  <c r="L15" i="11"/>
  <c r="H10" i="84"/>
  <c r="T23" i="17"/>
  <c r="S23" i="17"/>
  <c r="R23" i="17"/>
  <c r="O23" i="17"/>
  <c r="N23" i="17"/>
  <c r="M23" i="17"/>
  <c r="L11" i="11" s="1"/>
  <c r="L23" i="17"/>
  <c r="K23" i="17"/>
  <c r="J23" i="17"/>
  <c r="F23" i="17"/>
  <c r="R12" i="17"/>
  <c r="O12" i="17"/>
  <c r="N12" i="17"/>
  <c r="L12" i="17"/>
  <c r="K12" i="17"/>
  <c r="J12" i="17"/>
  <c r="I12" i="17"/>
  <c r="F12" i="17"/>
  <c r="U25" i="16"/>
  <c r="S25" i="16"/>
  <c r="R25" i="16"/>
  <c r="O25" i="16"/>
  <c r="N25" i="16"/>
  <c r="L25" i="16"/>
  <c r="K25" i="16"/>
  <c r="F25" i="16"/>
  <c r="U7" i="14"/>
  <c r="S7" i="14"/>
  <c r="R7" i="14"/>
  <c r="O7" i="14"/>
  <c r="N7" i="14"/>
  <c r="M7" i="14"/>
  <c r="L7" i="14"/>
  <c r="K7" i="14"/>
  <c r="J7" i="14"/>
  <c r="I7" i="14"/>
  <c r="F7" i="14"/>
  <c r="E7" i="14"/>
  <c r="C7" i="14"/>
  <c r="P7" i="14"/>
  <c r="J48" i="84" l="1"/>
  <c r="K48" i="84"/>
  <c r="J49" i="84"/>
  <c r="K49" i="84"/>
  <c r="J22" i="84"/>
  <c r="K22" i="84"/>
  <c r="J6" i="84"/>
  <c r="K6" i="84"/>
  <c r="J46" i="84"/>
  <c r="K46" i="84"/>
  <c r="J19" i="84"/>
  <c r="K19" i="84"/>
  <c r="J20" i="84"/>
  <c r="K20" i="84"/>
  <c r="J47" i="84"/>
  <c r="K47" i="84"/>
  <c r="J21" i="84"/>
  <c r="K21" i="84"/>
  <c r="J10" i="84"/>
  <c r="K10" i="84"/>
  <c r="O24" i="11"/>
  <c r="H23" i="84" s="1"/>
  <c r="F45" i="36"/>
  <c r="G45" i="36"/>
  <c r="F5" i="36"/>
  <c r="F54" i="84"/>
  <c r="G54" i="84" s="1"/>
  <c r="C7" i="88"/>
  <c r="D7" i="88" s="1"/>
  <c r="O54" i="11"/>
  <c r="H53" i="84" s="1"/>
  <c r="E6" i="88"/>
  <c r="F6" i="88" s="1"/>
  <c r="O55" i="11"/>
  <c r="E7" i="88"/>
  <c r="F7" i="88" s="1"/>
  <c r="E12" i="36"/>
  <c r="Q8" i="18"/>
  <c r="Q19" i="26"/>
  <c r="Q40" i="25"/>
  <c r="Q47" i="27"/>
  <c r="H24" i="84"/>
  <c r="F34" i="84"/>
  <c r="E4" i="36"/>
  <c r="G4" i="36" s="1"/>
  <c r="F47" i="36"/>
  <c r="H13" i="84"/>
  <c r="F10" i="84"/>
  <c r="G10" i="84" s="1"/>
  <c r="F14" i="84"/>
  <c r="G14" i="84" s="1"/>
  <c r="F22" i="84"/>
  <c r="G22" i="84" s="1"/>
  <c r="H14" i="84"/>
  <c r="F18" i="84"/>
  <c r="G18" i="84" s="1"/>
  <c r="F17" i="84"/>
  <c r="G17" i="84" s="1"/>
  <c r="T11" i="11"/>
  <c r="T7" i="11"/>
  <c r="T48" i="11"/>
  <c r="T50" i="11"/>
  <c r="T47" i="11"/>
  <c r="T49" i="11"/>
  <c r="L25" i="11"/>
  <c r="E23" i="36"/>
  <c r="F23" i="36" s="1"/>
  <c r="L45" i="11"/>
  <c r="E43" i="36"/>
  <c r="F43" i="36" s="1"/>
  <c r="L21" i="11"/>
  <c r="E19" i="36"/>
  <c r="F19" i="36" s="1"/>
  <c r="E22" i="36"/>
  <c r="F22" i="36" s="1"/>
  <c r="L24" i="11"/>
  <c r="L29" i="11"/>
  <c r="E27" i="36"/>
  <c r="F27" i="36" s="1"/>
  <c r="L20" i="11"/>
  <c r="E18" i="36"/>
  <c r="F18" i="36" s="1"/>
  <c r="E9" i="36"/>
  <c r="F9" i="36" s="1"/>
  <c r="E48" i="36"/>
  <c r="F48" i="36" s="1"/>
  <c r="L50" i="11"/>
  <c r="L27" i="11"/>
  <c r="F26" i="84" s="1"/>
  <c r="G26" i="84" s="1"/>
  <c r="F25" i="36"/>
  <c r="E26" i="36"/>
  <c r="F26" i="36" s="1"/>
  <c r="L14" i="11"/>
  <c r="F14" i="36"/>
  <c r="E7" i="36"/>
  <c r="G7" i="36" s="1"/>
  <c r="L17" i="11"/>
  <c r="L54" i="11"/>
  <c r="S16" i="24"/>
  <c r="N16" i="24"/>
  <c r="Q16" i="24"/>
  <c r="T14" i="11"/>
  <c r="M16" i="24"/>
  <c r="C5" i="88" s="1"/>
  <c r="R16" i="24"/>
  <c r="T16" i="11"/>
  <c r="T17" i="11"/>
  <c r="T18" i="11"/>
  <c r="T19" i="11"/>
  <c r="T15" i="11"/>
  <c r="O16" i="24"/>
  <c r="E16" i="24"/>
  <c r="F16" i="24"/>
  <c r="K16" i="24"/>
  <c r="T51" i="11"/>
  <c r="T20" i="11"/>
  <c r="T21" i="11"/>
  <c r="T22" i="11"/>
  <c r="T23" i="11"/>
  <c r="M12" i="17"/>
  <c r="E8" i="36" s="1"/>
  <c r="G8" i="36" s="1"/>
  <c r="J24" i="84" l="1"/>
  <c r="K24" i="84"/>
  <c r="J13" i="84"/>
  <c r="K13" i="84"/>
  <c r="J53" i="84"/>
  <c r="K53" i="84"/>
  <c r="J14" i="84"/>
  <c r="K14" i="84"/>
  <c r="T24" i="11"/>
  <c r="J23" i="84"/>
  <c r="K23" i="84"/>
  <c r="F12" i="36"/>
  <c r="G12" i="36"/>
  <c r="T55" i="11"/>
  <c r="T54" i="11"/>
  <c r="F7" i="36"/>
  <c r="H54" i="84"/>
  <c r="F53" i="84"/>
  <c r="G53" i="84" s="1"/>
  <c r="E52" i="36"/>
  <c r="G52" i="36" s="1"/>
  <c r="E53" i="36"/>
  <c r="D5" i="88"/>
  <c r="C8" i="88"/>
  <c r="D8" i="88" s="1"/>
  <c r="E5" i="88"/>
  <c r="F4" i="36"/>
  <c r="L10" i="11"/>
  <c r="F5" i="84"/>
  <c r="G5" i="84" s="1"/>
  <c r="F27" i="84"/>
  <c r="G27" i="84" s="1"/>
  <c r="F49" i="84"/>
  <c r="G49" i="84" s="1"/>
  <c r="F28" i="84"/>
  <c r="G28" i="84" s="1"/>
  <c r="F20" i="84"/>
  <c r="G20" i="84" s="1"/>
  <c r="F24" i="84"/>
  <c r="G24" i="84" s="1"/>
  <c r="F16" i="84"/>
  <c r="G16" i="84" s="1"/>
  <c r="F19" i="84"/>
  <c r="G19" i="84" s="1"/>
  <c r="F23" i="84"/>
  <c r="G23" i="84" s="1"/>
  <c r="F13" i="84"/>
  <c r="G13" i="84" s="1"/>
  <c r="F6" i="84"/>
  <c r="F44" i="84"/>
  <c r="G44" i="84" s="1"/>
  <c r="L52" i="11"/>
  <c r="E50" i="36"/>
  <c r="F50" i="36" s="1"/>
  <c r="J54" i="84" l="1"/>
  <c r="F51" i="84" a="1"/>
  <c r="F51" i="84" s="1"/>
  <c r="G51" i="84" s="1"/>
  <c r="F53" i="36"/>
  <c r="G53" i="36"/>
  <c r="G57" i="36" s="1"/>
  <c r="F9" i="84"/>
  <c r="T52" i="11"/>
  <c r="F5" i="88"/>
  <c r="E8" i="88"/>
  <c r="F8" i="88" s="1"/>
  <c r="J51" i="84"/>
  <c r="F52" i="36"/>
  <c r="G6" i="84"/>
  <c r="L59" i="11"/>
  <c r="M59" i="11" s="1"/>
  <c r="O6" i="11" l="1"/>
  <c r="H5" i="84" l="1"/>
  <c r="J5" i="84"/>
  <c r="G9" i="84" l="1"/>
  <c r="D58" i="84"/>
  <c r="G15" i="84"/>
  <c r="F55" i="36" l="1"/>
  <c r="F58" i="84" l="1"/>
  <c r="G58" i="84" s="1"/>
  <c r="E57" i="36"/>
  <c r="F57" i="36" s="1"/>
  <c r="P29" i="19"/>
  <c r="Q29" i="19"/>
  <c r="J29" i="19"/>
  <c r="K23" i="35"/>
  <c r="J14" i="24" s="1"/>
  <c r="J16" i="24" s="1"/>
  <c r="Q23" i="35" l="1"/>
  <c r="P14" i="24" l="1"/>
  <c r="P16" i="24" s="1"/>
  <c r="P14" i="16"/>
  <c r="J14" i="16"/>
  <c r="P59" i="11" l="1"/>
  <c r="O9" i="11"/>
  <c r="O59" i="11" l="1"/>
  <c r="Q59" i="11" s="1"/>
  <c r="H8" i="84"/>
  <c r="K8" i="84" s="1"/>
  <c r="K58" i="84" s="1"/>
  <c r="T9" i="11"/>
  <c r="T59" i="11" s="1"/>
  <c r="H58" i="84" l="1"/>
  <c r="J8" i="84"/>
  <c r="J58" i="84" l="1"/>
  <c r="Q25" i="16"/>
  <c r="P25" i="16"/>
  <c r="J25" i="16"/>
  <c r="S20" i="11" l="1"/>
  <c r="I19" i="84"/>
  <c r="L19" i="84" s="1"/>
  <c r="L58" i="84" s="1"/>
  <c r="I58" i="84"/>
  <c r="S9" i="11"/>
  <c r="S8" i="11"/>
  <c r="S19" i="11"/>
  <c r="S29" i="11"/>
  <c r="S7" i="11"/>
  <c r="S17" i="11"/>
  <c r="S18" i="11"/>
  <c r="S14" i="11"/>
  <c r="S28" i="11"/>
  <c r="S16" i="11"/>
  <c r="S27" i="11"/>
  <c r="S11" i="11"/>
  <c r="S15" i="11"/>
  <c r="S22" i="11"/>
  <c r="S12" i="11"/>
  <c r="S21" i="11"/>
  <c r="S10" i="11"/>
  <c r="C6" i="87" l="1"/>
  <c r="D6" i="87" s="1"/>
  <c r="S52" i="11"/>
  <c r="S55" i="11"/>
  <c r="S54" i="11"/>
  <c r="R59" i="11"/>
  <c r="S59" i="11" s="1"/>
  <c r="E6" i="8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<sst xmlns="http://schemas.openxmlformats.org/spreadsheetml/2006/main" count="4252" uniqueCount="910">
  <si>
    <t>Tipologie d'intervento</t>
  </si>
  <si>
    <t>Totale</t>
  </si>
  <si>
    <t>di cui trascinamenti</t>
  </si>
  <si>
    <t>1.2.1 - Attività dimostrative e azioni di informazione</t>
  </si>
  <si>
    <t>2</t>
  </si>
  <si>
    <t>2.1.1 - Sostegno per aiutare gli aventi diritto ad avvalersi di servizi di consulenza</t>
  </si>
  <si>
    <t>3</t>
  </si>
  <si>
    <t>3.1.1 - Sostegno alla nuova adesione a regimi di qualità</t>
  </si>
  <si>
    <t>3.2.1 - Sostegno per attività di informazione e promozione, svolte da associazioni di produttori nel mercato interno</t>
  </si>
  <si>
    <t>4</t>
  </si>
  <si>
    <t>4.1.1 - Sostegno a investimenti nelle aziende agricole</t>
  </si>
  <si>
    <t>4.2.1 - Sostegno a investimenti a favore della trasformazione/ commercializzazione e/o dello sviluppo dei prodotti agricoli</t>
  </si>
  <si>
    <t>4.3.1 - Miglioramento delle infrastrutture rurali destinate allo sviluppo del settore agroforestale</t>
  </si>
  <si>
    <t>4.3.2 - Efficientamento delle reti e risparmio idrico</t>
  </si>
  <si>
    <t>5</t>
  </si>
  <si>
    <t>5.1.1 - Investimenti in azioni di prevenzione</t>
  </si>
  <si>
    <t>5.2.1 - Investimenti in azioni di ripristino</t>
  </si>
  <si>
    <t>6</t>
  </si>
  <si>
    <t>6.1.1 - Aiuti all’avviamento di attività imprenditoriali per i giovani agricoltori</t>
  </si>
  <si>
    <t>6.2.1 - Aiuti all’avviamento di attività imprenditoriali per attività extra-agricole nelle zone rurali</t>
  </si>
  <si>
    <t>6.4.1 - Sostegno a investimenti nelle aziende agricole per la diversificazione e sviluppo di attività extra agricole</t>
  </si>
  <si>
    <t>6.4.2 - Sostegno a investimenti per lo sviluppo di imprese extra-agricole</t>
  </si>
  <si>
    <t>7</t>
  </si>
  <si>
    <t>7.1.1 - Sostegno per la stesura e l’aggiornamento dei Piani di tutela e di gestione dei siti Natura 2000 e di altre zone HVN</t>
  </si>
  <si>
    <t>7.2.1 - Sostegno per la creazione, il miglioramento o l’espansione di infrastrutture comunali e per le energie rinnovabili</t>
  </si>
  <si>
    <t>7.3.1 - Banda larga</t>
  </si>
  <si>
    <t>7.4.1 - Servizi di base a livello locale per la popolazione rurale</t>
  </si>
  <si>
    <t>7.5.1 - Infrastrutture turistiche su piccola scala</t>
  </si>
  <si>
    <t>7.6.1 - Sostegno per investimenti relativi a restauro e riqualificazione del patrimonio culturale e naturale dei villaggi</t>
  </si>
  <si>
    <t>8</t>
  </si>
  <si>
    <t>8.1.1 - Sostegno per i costi d'impianto e di mantenimento legati alla forestazione/all'imboschimento</t>
  </si>
  <si>
    <t>8.3.1 - Sostegno per la prevenzione dei danni arrecati alle foreste da incendi, calamità naturali ed eventi catastrofici</t>
  </si>
  <si>
    <t>8.6.1 - Investimenti in tecnologie silvicole, trasformazione, mobilitazione, commercializzazione dei prodotti delle foreste</t>
  </si>
  <si>
    <t>9</t>
  </si>
  <si>
    <t>9.1.1 - Costituzione di associazioni e organizzazioni di produttori</t>
  </si>
  <si>
    <t>10.1 - Trascinamenti</t>
  </si>
  <si>
    <t>10.1.1 - Difesa del suolo</t>
  </si>
  <si>
    <t>10.1.2 - Produzione integrata</t>
  </si>
  <si>
    <t>10.1.3 - Tutela dell’habitat della gallina prataiola</t>
  </si>
  <si>
    <t>10.1.5 - Conservazione di razze locali minacciate di abbandono</t>
  </si>
  <si>
    <t>10.1</t>
  </si>
  <si>
    <t>10.1.4 - Conservazione on farm delle risorse genetiche vegetali di interesse agrario a rischio di erosione genetica</t>
  </si>
  <si>
    <t>10.2.1 - Conservazione ex situ delle risorse genetiche vegetali e animali a rischio di erosione genetica</t>
  </si>
  <si>
    <t>11.1.1 - Pagamento al fine di adottare pratiche e metodi di produzione biologica</t>
  </si>
  <si>
    <t>11.2.1 - Pagamento al fine di mantenere pratiche e metodi di produzione biologica</t>
  </si>
  <si>
    <t xml:space="preserve"> 11.1</t>
  </si>
  <si>
    <t>11.2</t>
  </si>
  <si>
    <t xml:space="preserve"> 13.1- 13 2</t>
  </si>
  <si>
    <t>13.1.1 - Pagamento compensativo per le zone montane - 13.2.1 - Pagamento compensativo per altre zone soggette a vincoli naturali</t>
  </si>
  <si>
    <t>14.1</t>
  </si>
  <si>
    <t>14.1.1 - Pagamento per il miglioramento del benessere degli animali – settore ovino e caprino da latte - settore suini - settore bovino - da carne - settore bovino orientato alla produzione di latte</t>
  </si>
  <si>
    <t>15.1</t>
  </si>
  <si>
    <t>15.1.1 - Pagamento per impegni silvo-ambientali e impegni in materia di clima</t>
  </si>
  <si>
    <t>16.1</t>
  </si>
  <si>
    <t>16.1.1 - Costituzione e  funzionamento dei gruppi operativi del PEI</t>
  </si>
  <si>
    <t>16.2</t>
  </si>
  <si>
    <t>16.2.1 - Sostegno a progetti pilota e allo sviluppo di nuovi prodotti, pratiche, processi e tecnologie</t>
  </si>
  <si>
    <t>16 .4</t>
  </si>
  <si>
    <t>16.4.1 - Cooperazione di filiera</t>
  </si>
  <si>
    <t>16.5</t>
  </si>
  <si>
    <t>16.5.1 - Azioni congiunte per il cambiamento climatico e  approcci ambientali</t>
  </si>
  <si>
    <t>16.8</t>
  </si>
  <si>
    <t>16.8.1 - Sostegno alla stesura di piani di gestione forestale o di strumenti equivalenti</t>
  </si>
  <si>
    <t>16.9</t>
  </si>
  <si>
    <t>16.9.1 - Diversificazione delle attività agricole</t>
  </si>
  <si>
    <t>19.1</t>
  </si>
  <si>
    <t>19.1.1 - Sostegno preparatorio</t>
  </si>
  <si>
    <t>19.2</t>
  </si>
  <si>
    <t>19.2 - Leader</t>
  </si>
  <si>
    <t>19.3</t>
  </si>
  <si>
    <t>19.3.1 - Preparazione e realizzazione delle attività di cooperazione dei Gruppi di Azione Locale</t>
  </si>
  <si>
    <t>19.4</t>
  </si>
  <si>
    <t>19.4.1 - Sostegno per i costi di gestione e animazione</t>
  </si>
  <si>
    <t>Misure</t>
  </si>
  <si>
    <t>Data chiusura</t>
  </si>
  <si>
    <t>DGR</t>
  </si>
  <si>
    <t>Bando</t>
  </si>
  <si>
    <t>-</t>
  </si>
  <si>
    <t>Informazione e promozione</t>
  </si>
  <si>
    <t>PIF - Manifestazione di interesse</t>
  </si>
  <si>
    <t>Progetti individuali</t>
  </si>
  <si>
    <t>Precision Farming</t>
  </si>
  <si>
    <t>Pacchetto giovani (PG)</t>
  </si>
  <si>
    <t>Trasformazione prodotti agricoli</t>
  </si>
  <si>
    <t>Risparmio idrico</t>
  </si>
  <si>
    <t>Investimenti in azioni preventive realizzate da enti pubblici</t>
  </si>
  <si>
    <t>Investimenti in azioni preventive realizzate da aziende agricole</t>
  </si>
  <si>
    <t xml:space="preserve">Ripristino potenziale agricolo danneggiato </t>
  </si>
  <si>
    <t>Insediamento giovani</t>
  </si>
  <si>
    <t>Pacchetto giovani</t>
  </si>
  <si>
    <t>Avviamento attività</t>
  </si>
  <si>
    <t>Imprese extra agricole</t>
  </si>
  <si>
    <t>Energie Rinnovabili</t>
  </si>
  <si>
    <t>DGR
 banda larga</t>
  </si>
  <si>
    <t xml:space="preserve"> Infrastrutture turistiche</t>
  </si>
  <si>
    <t>Riqualificazione del patrimonio culturale e naturale</t>
  </si>
  <si>
    <t>Transizione</t>
  </si>
  <si>
    <t xml:space="preserve">Investimenti in tecnologie silvicole </t>
  </si>
  <si>
    <t>Costituzione di OP</t>
  </si>
  <si>
    <t>Bando per domanda di sostegno 2016</t>
  </si>
  <si>
    <t>Trascinamenti</t>
  </si>
  <si>
    <t>Annualita prec al 2015 e fino al 2016</t>
  </si>
  <si>
    <t>Costituzione GO (I fase)</t>
  </si>
  <si>
    <t>Sostegno a progetti pilota</t>
  </si>
  <si>
    <t>Cooperazione di filiera</t>
  </si>
  <si>
    <t>Cooperazione per i cambiamenti climatici</t>
  </si>
  <si>
    <t xml:space="preserve">Piani di gestione forestale </t>
  </si>
  <si>
    <t>Diversificazione</t>
  </si>
  <si>
    <t>Sostegno preparatario PDA</t>
  </si>
  <si>
    <t>Attuazione Leader</t>
  </si>
  <si>
    <t>Attività di cooperazione dei GAL</t>
  </si>
  <si>
    <t>Sostegno per i costi di gestione e aniamzione</t>
  </si>
  <si>
    <t xml:space="preserve"> 13.1</t>
  </si>
  <si>
    <t xml:space="preserve"> 13.2</t>
  </si>
  <si>
    <t>TR-131</t>
  </si>
  <si>
    <t>Sottomisure</t>
  </si>
  <si>
    <t xml:space="preserve"> 8.1</t>
  </si>
  <si>
    <t xml:space="preserve"> 10.1</t>
  </si>
  <si>
    <t xml:space="preserve"> 10.2</t>
  </si>
  <si>
    <t xml:space="preserve"> 11.2</t>
  </si>
  <si>
    <t>13.1.1 - Pagamento compensativo per le zone montane</t>
  </si>
  <si>
    <t>13.2.1 - Pagamento compensativo per altre zone soggette a vincoli naturali</t>
  </si>
  <si>
    <t xml:space="preserve"> 14.1</t>
  </si>
  <si>
    <t>14.1.1 - Pagamento per il miglioramento del benessere degli animali – settore ovino e caprino da latte</t>
  </si>
  <si>
    <t>14.1.2 - Pagamento per il benessere degli animali – settore suini</t>
  </si>
  <si>
    <t>14.1.3 - Pagamento per il benessere degli animali – settore bovino orientato alla produzione di carne</t>
  </si>
  <si>
    <t>14.1.4 - Pagamento per il benessere degli animali – settore bovino orientato alla produzione di latte</t>
  </si>
  <si>
    <t xml:space="preserve"> 15.1</t>
  </si>
  <si>
    <t>TOTALE</t>
  </si>
  <si>
    <r>
      <t xml:space="preserve"> Importo stanziato per bando</t>
    </r>
    <r>
      <rPr>
        <b/>
        <vertAlign val="superscript"/>
        <sz val="8"/>
        <color rgb="FF000000"/>
        <rFont val="Arial"/>
        <family val="2"/>
      </rPr>
      <t>(1)</t>
    </r>
  </si>
  <si>
    <t xml:space="preserve"> 1.2</t>
  </si>
  <si>
    <t xml:space="preserve"> 2.1</t>
  </si>
  <si>
    <t xml:space="preserve"> 3.1</t>
  </si>
  <si>
    <t xml:space="preserve"> 3.2</t>
  </si>
  <si>
    <t xml:space="preserve"> 4.1</t>
  </si>
  <si>
    <t xml:space="preserve"> 4.2</t>
  </si>
  <si>
    <t xml:space="preserve"> 4.3</t>
  </si>
  <si>
    <t xml:space="preserve"> 5.1</t>
  </si>
  <si>
    <t xml:space="preserve"> 5.2</t>
  </si>
  <si>
    <t xml:space="preserve"> 6.1</t>
  </si>
  <si>
    <t xml:space="preserve"> 6.2</t>
  </si>
  <si>
    <t xml:space="preserve"> 6.4</t>
  </si>
  <si>
    <t xml:space="preserve"> 7.1</t>
  </si>
  <si>
    <t xml:space="preserve"> 7.2</t>
  </si>
  <si>
    <t xml:space="preserve"> 7.3</t>
  </si>
  <si>
    <t xml:space="preserve"> 7.4</t>
  </si>
  <si>
    <t xml:space="preserve"> 7.5</t>
  </si>
  <si>
    <t xml:space="preserve"> 7.6</t>
  </si>
  <si>
    <t xml:space="preserve"> 8.3</t>
  </si>
  <si>
    <t xml:space="preserve"> 8.6</t>
  </si>
  <si>
    <t xml:space="preserve"> 9.1</t>
  </si>
  <si>
    <t>16.4</t>
  </si>
  <si>
    <t>19.2.1 - Sostegno per l’esecuzione delle operazioni nell’ambito della SLTP</t>
  </si>
  <si>
    <t>19.2.1 - Azioni di sistema</t>
  </si>
  <si>
    <t>Servizi di supporto alla preparazione e gestione del PSR</t>
  </si>
  <si>
    <t>Sottomisura 1.2 - Sostegno ad attività dimostrative e azioni di informazione</t>
  </si>
  <si>
    <t>Descrizione
 Bando</t>
  </si>
  <si>
    <t xml:space="preserve"> Importo stanziato per bando</t>
  </si>
  <si>
    <t>Data chiusura bando</t>
  </si>
  <si>
    <t>Domande finanziabili</t>
  </si>
  <si>
    <t>Positive</t>
  </si>
  <si>
    <t>N.</t>
  </si>
  <si>
    <t>Euro</t>
  </si>
  <si>
    <t>Totale 1.2</t>
  </si>
  <si>
    <t>Sottomisura 2.1 - Sostegno allo scopo di aiutare gli aventi diritto ad avvalersi di servizi di consulenza</t>
  </si>
  <si>
    <t>Totale 2.1</t>
  </si>
  <si>
    <t>Sottomisura 3.1 - Sostegno alla nuova adesione a regimi di qualità</t>
  </si>
  <si>
    <t>anno 2016</t>
  </si>
  <si>
    <t>anno 2017</t>
  </si>
  <si>
    <t>anno 2018</t>
  </si>
  <si>
    <t>anno 2019</t>
  </si>
  <si>
    <t>Totale 3.1</t>
  </si>
  <si>
    <t>Sottomisura 3.2 - Sostegno per attività di informazione e promozione, svolte da associazioni di produttori nel mercato interno</t>
  </si>
  <si>
    <t>Totale 3.2</t>
  </si>
  <si>
    <t>Sottomisura 4.1 - Sostegno a investimenti nelle aziende agricole</t>
  </si>
  <si>
    <t>Investimenti</t>
  </si>
  <si>
    <t>Totale 4.1</t>
  </si>
  <si>
    <t>Sottomisura: 4.2 - Sostegno a investimenti a favore della trasformazione/ commercializzazione e/o dello sviluppo dei prodotti agricoli</t>
  </si>
  <si>
    <t>Totale 4.2</t>
  </si>
  <si>
    <t>Sottomisura 4.3 - Sostegno a investimenti nell'infrastruttura necessaria allo sviluppo, all'ammodernamento e all'adeguamento dell'agricoltura e della silvicoltura</t>
  </si>
  <si>
    <t xml:space="preserve">4.3.1 - Viabilità rurale </t>
  </si>
  <si>
    <t>4.3.2 -Risparmio idrico</t>
  </si>
  <si>
    <t>Totale 4.3</t>
  </si>
  <si>
    <t>Sottomisura 5.1 - Sostegno a investimenti in azioni di prevenzione volte a ridurre le conseguenze di probabili calamità naturali, avversità atmosferiche ed eventi catastrofici</t>
  </si>
  <si>
    <t>Sostegno ad investimenti in azioni di prevenzione</t>
  </si>
  <si>
    <t>Totale 5.1</t>
  </si>
  <si>
    <t>Sottomisura 5.2 - Sostegno a investimenti per il ripristino dei terreni agricoli e del potenziale produttivo danneggiati da calamità naturali, avversità atmosferiche ed eventi catastrofici</t>
  </si>
  <si>
    <t>Totale 5.2</t>
  </si>
  <si>
    <t>Sottomisura 6.1 - Aiuti all'avviamento di imprese per i giovani agricoltori</t>
  </si>
  <si>
    <t>Insed.giovani</t>
  </si>
  <si>
    <t>Totale 6.1</t>
  </si>
  <si>
    <t>Sottomisura 6.2 - Aiuti all'avviamento di attività imprenditoriali per attività extra-agricole nelle zone rurali</t>
  </si>
  <si>
    <t>Avviam. attività extra agri</t>
  </si>
  <si>
    <t>Totale 6.2</t>
  </si>
  <si>
    <t>6.4.2 -Imprese extra agricole</t>
  </si>
  <si>
    <t>Totale 6.4</t>
  </si>
  <si>
    <t>Sottomisura 7.2 - Sostegno a investimenti finalizzati alla creazione, al miglioramento o all'espansione di ogni tipo di infrastrutture su piccola scala, compresi gli investimenti nelle energie rinnovabili e nel risparmio energetico</t>
  </si>
  <si>
    <t>Totale 7.2</t>
  </si>
  <si>
    <t>Sottomisura 7.3 - Sostegno per l'installazione, il miglioramento e l'espansione di infrastrutture a banda larga e di infrastrutture passive per la banda larga, nonché la fornitura di accesso alla banda larga e ai servizi di pubblica amministrazione online</t>
  </si>
  <si>
    <t>Banda larga</t>
  </si>
  <si>
    <t>Totale 7.3</t>
  </si>
  <si>
    <t>Sottomisura 7.5 - Sostegno a investimenti di fruizione pubblica in infrastrutture ricreative, informazioni turistiche e infrastrutture turistiche su piccola scala</t>
  </si>
  <si>
    <t>Infrastrutture ricreative</t>
  </si>
  <si>
    <t>Totale 7.5</t>
  </si>
  <si>
    <t>Sottomisura 7.6 - Sostegno per studi/investimenti relativi alla manutenzione, al restauro e alla riqualificazione del patrimonio culturale e naturale dei villaggi, del paesaggio rurale e dei siti ad alto valore naturalistico, compresi gli aspetti socioeconomici di tali attività, nonché azioni di sensibilizzazione in materia di ambiente</t>
  </si>
  <si>
    <t>Patrimonio culturale e naturalistico</t>
  </si>
  <si>
    <t>Totale 7.6</t>
  </si>
  <si>
    <t>Sottomisura 8.3 - Sostegno alla prevenzione dei danni arrecati alle foreste da incendi, calamità naturali ed eventi catastrofici</t>
  </si>
  <si>
    <t xml:space="preserve">Investimenti in prevenzione </t>
  </si>
  <si>
    <t>Totale 8.3</t>
  </si>
  <si>
    <t>Sottomisura 8.6 - Sostegno agli investimenti in tecnologie silvicole e nella trasformazione, mobilitazione e commercializzazione dei prodotti delle foreste</t>
  </si>
  <si>
    <t>Totale 8.6</t>
  </si>
  <si>
    <t>Sottomisura 9.1 - Costituzione di associazioni e organizzazioni di produttori nei settori agricolo e forestale</t>
  </si>
  <si>
    <t>Totale 9.1</t>
  </si>
  <si>
    <t>Sottomisura 16.1 - Sostegno per la costituzione e la gestione dei gruppi operativi del PEI in materia di produttività e sostenibilità dell'agricoltura</t>
  </si>
  <si>
    <t>Totale 16.1</t>
  </si>
  <si>
    <t>Sottomisura 16.2 - Sostegno a progetti pilota e allo sviluppo di nuovi prodotti, pratiche, processi e tecnologie</t>
  </si>
  <si>
    <t>Sostegno  a progetti pilota</t>
  </si>
  <si>
    <t>Totale 16.2</t>
  </si>
  <si>
    <t>Sottomisura 16.4 - Sostegno alla cooperazione di filiera, sia orizzontale che verticale, per la creazione e lo sviluppo di filiere corte e mercati locali e sostegno ad attività promozionali a raggio locale connesse allo sviluppo delle filiere corte e dei mercati locali</t>
  </si>
  <si>
    <t>Totale 16.4</t>
  </si>
  <si>
    <t>Sottomisura 16.5 - Sostegno per azioni congiunte per la mitigazione del cambiamento climatico e l'adattamento ad esso e sostegno per approcci comuni ai progetti e alle pratiche ambientali in corso</t>
  </si>
  <si>
    <t>Azioni congiunte per il cambiamento climatico</t>
  </si>
  <si>
    <t>Totale 16.5</t>
  </si>
  <si>
    <t>Sottomisura 16.8 - Sostegno alla stesura di piani di gestione forestale o di strumenti equivalenti</t>
  </si>
  <si>
    <t>Totale 16.8</t>
  </si>
  <si>
    <t>Sottomisura 16.9 - Sostegno per la diversificazione delle attività agricole in attività riguardanti l'assistenza sanitaria, l'integrazione sociale, l'agricoltura sostenuta dalla comunità e l'educazione ambientale e alimentare</t>
  </si>
  <si>
    <t>Totale 16.9</t>
  </si>
  <si>
    <t>Sostegno preparatorio</t>
  </si>
  <si>
    <t>Totale 19.1</t>
  </si>
  <si>
    <t xml:space="preserve">Azioni di sistema </t>
  </si>
  <si>
    <t>Totale 19.2</t>
  </si>
  <si>
    <t>Totale 19.3</t>
  </si>
  <si>
    <t xml:space="preserve">Sostegno per i costi di gestione e animazione </t>
  </si>
  <si>
    <t>Totale 19.4</t>
  </si>
  <si>
    <t>GAL MARGHINE</t>
  </si>
  <si>
    <t>4.1</t>
  </si>
  <si>
    <t>GAL BARBAGIA</t>
  </si>
  <si>
    <t>7.6</t>
  </si>
  <si>
    <t>Adeguare gli spazi per le attività culturali</t>
  </si>
  <si>
    <t>Costruire la rete degli operatori per gestire i servizi culturali con l'utilizzo di nuove tecnologie</t>
  </si>
  <si>
    <t>GAL OGLIASTRA</t>
  </si>
  <si>
    <t>6.2</t>
  </si>
  <si>
    <t>Aiuti alle start Up per attività turistiche</t>
  </si>
  <si>
    <t>Aiuti alla produzione di pasta fresca tradizionale e/o tipica</t>
  </si>
  <si>
    <t>7.5</t>
  </si>
  <si>
    <t>presentazione progetti (II fase)</t>
  </si>
  <si>
    <t>di cui con concessione</t>
  </si>
  <si>
    <t>Sottomisura</t>
  </si>
  <si>
    <t>FEASR</t>
  </si>
  <si>
    <t>Importo da Impegnare</t>
  </si>
  <si>
    <t>Sostegno alla prevenzione dei danni arrecati alle foreste da incendi, calamità naturali ed eventi catastrofici</t>
  </si>
  <si>
    <t>TRASC.</t>
  </si>
  <si>
    <t>PROGR 2014-2020</t>
  </si>
  <si>
    <t>% impegni su Risorse stanziate con bando</t>
  </si>
  <si>
    <r>
      <t>Sottomisura 19.2 - Sostegno all'esecuzione degli interventi nell'ambito della strategia di sviluppo locale di tipo partecipativo</t>
    </r>
    <r>
      <rPr>
        <b/>
        <vertAlign val="superscript"/>
        <sz val="11"/>
        <color theme="1"/>
        <rFont val="Calibri"/>
        <family val="2"/>
        <scheme val="minor"/>
      </rPr>
      <t xml:space="preserve"> (1)</t>
    </r>
  </si>
  <si>
    <r>
      <t xml:space="preserve">Sottomisura 19.3 - Preparazione e realizzazione delle attività di cooperazione del gruppo di azione locale </t>
    </r>
    <r>
      <rPr>
        <b/>
        <vertAlign val="superscript"/>
        <sz val="11"/>
        <color theme="1"/>
        <rFont val="Calibri"/>
        <family val="2"/>
        <scheme val="minor"/>
      </rPr>
      <t>(1)</t>
    </r>
  </si>
  <si>
    <r>
      <t xml:space="preserve">Sottomisura 19.4 - Sostegno per i costi di gestione e animazione </t>
    </r>
    <r>
      <rPr>
        <b/>
        <vertAlign val="superscript"/>
        <sz val="11"/>
        <color theme="1"/>
        <rFont val="Calibri"/>
        <family val="2"/>
        <scheme val="minor"/>
      </rPr>
      <t>(1)</t>
    </r>
  </si>
  <si>
    <t>Servizi di consulenza</t>
  </si>
  <si>
    <t>Viabilità rurale e forestale</t>
  </si>
  <si>
    <t>Piani di gestione delle aree Natura 2000</t>
  </si>
  <si>
    <t>Totale 7.1</t>
  </si>
  <si>
    <t>Rafforzamento e diversificazione delle imprese extra agricole</t>
  </si>
  <si>
    <t>Creazione di porte di accesso al territorioe nuovi attrattori</t>
  </si>
  <si>
    <t>Incentivazione di attività legate allo sviluppo del turismo rurale</t>
  </si>
  <si>
    <t>Sostegno alla produzione artigianale e/o tipica dei prodotti oliastrini</t>
  </si>
  <si>
    <t>Miglioramento e potenziamento dell'offerta ricettiva extra-alberghiera</t>
  </si>
  <si>
    <t>Selezione dei PdA</t>
  </si>
  <si>
    <t>Sviluppo dell’aggregazione e programmazione
dell’offerta delle fattorie sociali</t>
  </si>
  <si>
    <t>Valorizzazione delle microimprese operanti nell’ambito delle produzioni integrate manifatturiere</t>
  </si>
  <si>
    <t>Potenziamento della fruizione dei beni culturali attraverso interventi legati alla ricettività e ai servizi correlati</t>
  </si>
  <si>
    <t>Laboratori di trasformazione e punti vendita di prodotti non compresi nell’All. 1 del Trattato</t>
  </si>
  <si>
    <t>“Sviluppo nuove attività imprenditoriali nelle produzioni extra-agricole ”</t>
  </si>
  <si>
    <t>7.4</t>
  </si>
  <si>
    <t>Potenziamento dei luoghi della cultura di proprietà degli Enti Locali</t>
  </si>
  <si>
    <t>4.2</t>
  </si>
  <si>
    <t>---</t>
  </si>
  <si>
    <t xml:space="preserve">Domande di sostegno rinunciate
</t>
  </si>
  <si>
    <t>GAL SINIS</t>
  </si>
  <si>
    <t>GAL TERRAS DE OLIA</t>
  </si>
  <si>
    <t>BANDI A REGIA GAL</t>
  </si>
  <si>
    <t>3.2</t>
  </si>
  <si>
    <t xml:space="preserve"> Identificativo bando</t>
  </si>
  <si>
    <t>Bando domande di sostegno 2016</t>
  </si>
  <si>
    <t>Impegni giuridicamente vincolanti (2)</t>
  </si>
  <si>
    <t>Sviluppo e potenziamento di laboratori di trasformazione e di commercializzazione di prodotti di cui all’Allegato I del Trattato</t>
  </si>
  <si>
    <t>Sostegno alla produzione artigianale e/o tipica dei prodotti ogliastrini ad esclusione di quelli coinvolti nella filiera produttiva della pasta fresca tradizionale</t>
  </si>
  <si>
    <t>Investimenti nelle aziende agricole per lo sviluppo di agriturismi e agricampeggi</t>
  </si>
  <si>
    <t>Creazione di una filiera locale per la produzione dei “Culurgionis” d’Ogliastra</t>
  </si>
  <si>
    <t>Miglioramento e potenziamento della ricettività extra-alberghiera</t>
  </si>
  <si>
    <t>Sostegno a investimenti nella trasformazione o nella trasformazione e commercializzazione dei prodotti agricoli</t>
  </si>
  <si>
    <t>Realizzazione di spazi attrezzati per il turismo equestre, per attività didattiche e/o sociali in fattoria</t>
  </si>
  <si>
    <t>Realizzazione di attività legate alle piccole ricettività low cost, anche in funzione di una rivitalizzazione dei centri storici (albergo diffuso)</t>
  </si>
  <si>
    <t>Riqualificazione e adeguamento di immobili, acquisto arredi e attrezzature per lo svolgimento di altre attività ricettive di piccole dimensioni</t>
  </si>
  <si>
    <t>Avvio di nuove attività imprenditoriali nel settore del turismo sostenibile</t>
  </si>
  <si>
    <t>Aiuti all’avviamento di attività imprenditoriali extra agricole nelle zone rurali</t>
  </si>
  <si>
    <t>anno 2020</t>
  </si>
  <si>
    <t>GAL</t>
  </si>
  <si>
    <t>Codice bando</t>
  </si>
  <si>
    <t>GAL NUORESE BARONIA</t>
  </si>
  <si>
    <t>GAL MARMILLA</t>
  </si>
  <si>
    <t>attivazione di investimenti per lo sviluppo di imprese extra agricole esistenti</t>
  </si>
  <si>
    <t>Cercare i parametri di qualita dei prodotti zootecnici - bando 2018</t>
  </si>
  <si>
    <t>Multifunzionalità delle imprese agricole come chiave per una nuova competitività</t>
  </si>
  <si>
    <t>Apertura maggio 2020 - Bando domande di sostegno</t>
  </si>
  <si>
    <t>a</t>
  </si>
  <si>
    <t>b</t>
  </si>
  <si>
    <t>c</t>
  </si>
  <si>
    <t>d</t>
  </si>
  <si>
    <t>e</t>
  </si>
  <si>
    <t>h</t>
  </si>
  <si>
    <t>Conservazione ex situ delle risorse genetiche vegetali e animali a rischio di erosione genetica</t>
  </si>
  <si>
    <t>Totale 10.2</t>
  </si>
  <si>
    <t>Sostegno temporaneo per l’agriturismo, le fattorie didattiche e le fattorie sociali</t>
  </si>
  <si>
    <t>Totale 21.1</t>
  </si>
  <si>
    <t>21.1</t>
  </si>
  <si>
    <t>GAL CAMPIDANO</t>
  </si>
  <si>
    <t>Investimenti a favore della cooperazione a sostegno della diversificazione delle attività agricole</t>
  </si>
  <si>
    <t>Costruiamo insieme la rete dei prodotti identitari</t>
  </si>
  <si>
    <t>Investimenti materiali e immateriali a favore delle micro e piccole imprese per la diversificazione e lo sviluppo delle attività extra-agricole</t>
  </si>
  <si>
    <t>Creazione di nuove imprese</t>
  </si>
  <si>
    <t>Potenziamento di imprese esistenti in chiave innovativa nel comparto del turismo</t>
  </si>
  <si>
    <t>Piccoli interventi di adeguamento di imprese artigiane, commerciali, somministrazione cibi e bevande e ristorazione</t>
  </si>
  <si>
    <t>GAL ANGLONA ROMANGIA</t>
  </si>
  <si>
    <t>Sostegno agli investimenti per la ricettività extra alberghiera nelle zone rurali</t>
  </si>
  <si>
    <t>Aiuto all’avviamento di micro e piccole imprese extra agricole nelle zone rurali</t>
  </si>
  <si>
    <t>Valorizzazione delle produzioni locali – aiuti alle microimprese</t>
  </si>
  <si>
    <t>Potenziamento offerta turistica – grandi attrattori privati</t>
  </si>
  <si>
    <t>Potenziamento offerta turistica  - Multifunzionalita' az.agricole</t>
  </si>
  <si>
    <t>Potenziamento offerta turistica - riqualificazione estetica e funzionale delle imprese turistiche - micro imprese</t>
  </si>
  <si>
    <t>Investimenti a sostegno della produzione e del consumo delle energie rinnovabili a favore delle micro e piccole imprese per la diversificazione e lo sviluppo delle attività extra-agricole</t>
  </si>
  <si>
    <t>Sviluppo di nuove attività imprenditoriali nel settore della bioedilizia</t>
  </si>
  <si>
    <t>Investimenti materiali e immateriali per la diversificazione e lo sviluppo delle attività extragricole delle aziende agricole</t>
  </si>
  <si>
    <t>Costruire la rete degli artigiani del territorio</t>
  </si>
  <si>
    <t>Integrazione e potenziamento della rete degli itinerari turistici tematici</t>
  </si>
  <si>
    <t>Potenziamento dell’ospitalità agrituristica e riqualificazione dell’esistente, compreso l’agricampeggio</t>
  </si>
  <si>
    <t>Sviluppo/adeguamento e/o potenziamento delle imprese esistenti nel settore dell’artigianato tipico locale, nel settore del commercio dei prodotti tipici artigianali, dei prodotti biologici e/o di qualità certificata</t>
  </si>
  <si>
    <t>Domande di sostegno presentate*</t>
  </si>
  <si>
    <t xml:space="preserve">PIF - presentazione singoli progetti </t>
  </si>
  <si>
    <t>notifica det. Approv. Manif. di intresse</t>
  </si>
  <si>
    <t xml:space="preserve">Conferma impegni per i bandi annualità: 2012 e 2014. Fine impegno con domande annualità 2017 e 2019. </t>
  </si>
  <si>
    <t xml:space="preserve">Conferma impegni per i bandi annualità: 2012 e 2014. Fine impegno con domande annualità 2016 e 2018. </t>
  </si>
  <si>
    <t>Fine impegno con domanda annualità 2021</t>
  </si>
  <si>
    <t>Fine impegno con domanda annualità 2020</t>
  </si>
  <si>
    <t>Conferma impegni per i bandi annualità: 2012, 2013 e 2014. Fine impegno con domande annualità 2016, 2017 e 2018</t>
  </si>
  <si>
    <t>Annualità precedenti al 2015</t>
  </si>
  <si>
    <t>Chiusura luglio 2020 - Fine impegno con domanda annualità 2024</t>
  </si>
  <si>
    <t>Sotto misura</t>
  </si>
  <si>
    <t xml:space="preserve">Sottomisura 19.1 - Sostegno preparatorio </t>
  </si>
  <si>
    <t>Progetti integrati di Filiera: Sottomisure 3.2 - 4.1 e 4.2</t>
  </si>
  <si>
    <t>GAL BARIGADU GUILCER</t>
  </si>
  <si>
    <t>GAL GALLURA</t>
  </si>
  <si>
    <t xml:space="preserve">GAL LINAS </t>
  </si>
  <si>
    <t>DISTRETTO RURALE BMG</t>
  </si>
  <si>
    <t>GAL SULCIS</t>
  </si>
  <si>
    <t>GAL SARCIDANO</t>
  </si>
  <si>
    <t>GAL SGT</t>
  </si>
  <si>
    <t>Strutture ricettive extra-agricole</t>
  </si>
  <si>
    <t>Strutture Ricettive in Aziende Agricole su fabbricate esistenti</t>
  </si>
  <si>
    <t>Innalzamento degli standard qualitativi delle strutture ricettive alberghiere esistenti</t>
  </si>
  <si>
    <t>Innalzamento degli standard qualitativi delle aziende che erogano servizi al turista</t>
  </si>
  <si>
    <t>Creazione di nuovi servizi turistici</t>
  </si>
  <si>
    <t>Nuove attività imprenditoriali di artigianato innovativo</t>
  </si>
  <si>
    <t> Investimenti materiali e immateriali nelle aziende agricole</t>
  </si>
  <si>
    <t>Investimenti materiali e immateriali per la trasformazione, la commercializzazione e/o lo sviluppo dei prodotti agricoli </t>
  </si>
  <si>
    <t>16.3</t>
  </si>
  <si>
    <t>Creazione di reti di imprese fra gli operatori turistici. Sviluppo della rete turistica territoriale.</t>
  </si>
  <si>
    <t>Nuovi modelli e nuovi processi produttivi</t>
  </si>
  <si>
    <t>Includere e inserire al lavoro soggetti in condizioni di svantaggio</t>
  </si>
  <si>
    <t>Educare le nuove generazioni a un`alimentazione locale e sostenibile - bando 2019</t>
  </si>
  <si>
    <t>Investire sulle aziende pastorali che utilizzano il pascolo naturale - bando 2019</t>
  </si>
  <si>
    <t>Investire sulle imprese di trasformazione e commercializzazione</t>
  </si>
  <si>
    <t>Sostegno agli investimenti nelle aziende agricole per la diversificazione e lo sviluppo di attività extra agricole</t>
  </si>
  <si>
    <t>Sostegno agli investimenti per lo sviluppo di micro e piccole imprese extra agricole</t>
  </si>
  <si>
    <t>Sviluppo e potenziamento di laboratori di trasformazione e di commercializzazione di prodotti di cui all'ALLEGATO I del Trattato</t>
  </si>
  <si>
    <t>Imprese dimostrative: investire sulle imprese di trasformazione e commercializzazione</t>
  </si>
  <si>
    <t>Imprese dimostrative: investire sulle imprese di trasformazione e commercializzazione del GAL</t>
  </si>
  <si>
    <t>Potenziamento territoriale dei servizi connessi al patrimonio storico, archeologico museale</t>
  </si>
  <si>
    <t>Filiera Vitivinicola - Sviluppo delle reti territoriali</t>
  </si>
  <si>
    <t>Filiere delle Ortive, della frutta, della frutta secca e delle piante officinali - Sviluppo delle reti territoriali</t>
  </si>
  <si>
    <t>Filiera del fiore sardo e dei prodotti lattiero caseari ovi-caprini  - Sviluppo delle reti territoriali</t>
  </si>
  <si>
    <t>Eventi calamitosi verificatisi da maggio a novembre 2018</t>
  </si>
  <si>
    <t>Data pubblicazione /apertura bando</t>
  </si>
  <si>
    <t xml:space="preserve">21.1.1 -Sostegno temporaneo eccezionale a favore di agricoltori e PMI particolarmente colpiti dalla crisi di COVID-19 </t>
  </si>
  <si>
    <t xml:space="preserve">Sostegno temporaneo eccezionale a favore di agricoltori e PMI particolarmente colpiti dalla crisi di COVID-19 </t>
  </si>
  <si>
    <t xml:space="preserve">21.1.1 - Sostegno temporaneo eccezionale a favore di agricoltori e PMI particolarmente colpiti dalla crisi di COVID-19 </t>
  </si>
  <si>
    <t xml:space="preserve">Sottomisura 21.1 -Sostegno temporaneo eccezionale a favore di agricoltori e PMI particolarmente colpiti dalla crisi di COVID-19 </t>
  </si>
  <si>
    <t>Investimenti per l’implementazione di progetti pilota e lo sviluppo di nuovi prodotti, pratiche, processi e tecnologie</t>
  </si>
  <si>
    <t>Start up servizi turistici</t>
  </si>
  <si>
    <t>Potenziamento offerta turistica, grandi attrattori pubblici</t>
  </si>
  <si>
    <t xml:space="preserve">* il dato delle DS presentate è compreso di rinunce e bocciate, mentre per quanto riguarda le DP presentate il dato è al netto delle DP rinunciate e bocciate. </t>
  </si>
  <si>
    <t>anno 2021</t>
  </si>
  <si>
    <t>Misura</t>
  </si>
  <si>
    <t xml:space="preserve"> Importo stanziato per bando/misura</t>
  </si>
  <si>
    <t>Mnifestazioni d'interesse presentate</t>
  </si>
  <si>
    <t>totale</t>
  </si>
  <si>
    <t>11.1
11.2</t>
  </si>
  <si>
    <t>Bando per domanda di sostegno 2021</t>
  </si>
  <si>
    <t>Fine impegno con domanda annualità 2023</t>
  </si>
  <si>
    <t>11.1.1 - Pagamento al fine di adottare pratiche e metodi di produzione biologica
11.2.1 - Pagamento al fine di mantenere pratiche e metodi di produzione biologica</t>
  </si>
  <si>
    <t>Bando per domanda di sostegno annualità 2016</t>
  </si>
  <si>
    <t>Fine impegno con domande annualità 2020</t>
  </si>
  <si>
    <t>Bando per domanda di sostegno annualità 2017</t>
  </si>
  <si>
    <t>Fine impegno con domande annualità 2021</t>
  </si>
  <si>
    <t>Bando per domanda di sostegno annualità 2018</t>
  </si>
  <si>
    <t>Fine impegno con domande annualità 2022</t>
  </si>
  <si>
    <t>Bando per domanda di sostegno annualità 2019</t>
  </si>
  <si>
    <t>Bando per domanda di sostegno annualità 2020</t>
  </si>
  <si>
    <t>Bando per domanda di sostegno annualità 2021 (triennale)</t>
  </si>
  <si>
    <t xml:space="preserve"> Bando domande di sostegno 2020</t>
  </si>
  <si>
    <t>Bando domande di sostegno 2021</t>
  </si>
  <si>
    <t>Chiusura luglio 2021 - Fine impegno con domanda annualità 2025</t>
  </si>
  <si>
    <t>(1) Dato non ancora aggiornato nel Sistema SIAN. Il diniego del finanziamento di una delle 2 finanziabili è avvenuto con determinazione di ARGEA n. 2817 del 29/05/2019</t>
  </si>
  <si>
    <t>Infrastrutturazione turistica su piccola scala - Enti Pubblici</t>
  </si>
  <si>
    <t xml:space="preserve">19.3 </t>
  </si>
  <si>
    <t xml:space="preserve">19.4 </t>
  </si>
  <si>
    <t>Manifestazioni d'interesse finanziabili (*)</t>
  </si>
  <si>
    <t>%</t>
  </si>
  <si>
    <t>DELTA</t>
  </si>
  <si>
    <t>Valorizzare e sostenere le produzioni agroalimentari locali come elemento chiave del turismo sostenibile e della promozione del territorio</t>
  </si>
  <si>
    <t xml:space="preserve">Investimenti a sostegno della produzione e del consumo dell’energia rinnovabile </t>
  </si>
  <si>
    <t>Creazione/potenziamento di n°1 organismo di Gestione Integrata dell’offerta turistica dell’area del GAL</t>
  </si>
  <si>
    <t>Costruire la rete dei produttori, il paniere dei prodotti del territorio e promuoverne il consumo</t>
  </si>
  <si>
    <t>“Investire nelle tecnologie innovative per le start up artigiane”</t>
  </si>
  <si>
    <t>Investire nelle tecnologie innovative per le imprese artigiane</t>
  </si>
  <si>
    <t>Investire nelle tecnologie innovative per le start up artigiane 2020</t>
  </si>
  <si>
    <t>Investire per adeguare le aziende di trasformazione dei prodotti agroalimentari</t>
  </si>
  <si>
    <t>Potenziamento dei luoghi della cultura di proprietà degli enti locali</t>
  </si>
  <si>
    <t>Infrastrutture turistiche su piccola scala</t>
  </si>
  <si>
    <t>Turismo attivo: sviluppo di imprese extra-agricole</t>
  </si>
  <si>
    <t>Interventi di miglioramento funzionale e adeguamento ai principi eco-sostenibili e di accessibilità’ delle strutture ricettive-ospitalità extra-agricola</t>
  </si>
  <si>
    <t>Investimenti per la creazione e sviluppo dell’ospitalità agrituristica ivi compreso l’agricampeggio</t>
  </si>
  <si>
    <t>Riqualificazione delle strutture e del contesto paesaggistico nelle aziende agricole che offrono servizi agrituristici e/o didattici e/o sociali</t>
  </si>
  <si>
    <t>Attivazione di investimenti per l’avvio di nuove imprese extra agricole</t>
  </si>
  <si>
    <t>Incentivazione dell’agricoltura multifunzionale</t>
  </si>
  <si>
    <t>Attivazione di investimenti per lo sviluppo di aziende agricole esistenti</t>
  </si>
  <si>
    <t>Sostegno allo sviluppo di azioni di cooperazione per la diversificazione delle attività agricole in attività relative l'inclusione sociale e sviluppo di progetti di agricoltura sociale (agrisociale)</t>
  </si>
  <si>
    <t>Sviluppo dei progetti di agricoltura alimentare e ambientale (agrididattica)</t>
  </si>
  <si>
    <t>Competenza e impresa per lo sviluppo rurale sostenibile - sostegno a investimenti per lo sviluppo di imprese extra agricole</t>
  </si>
  <si>
    <t>Sviluppo e potenziamento delle fattorie didattiche</t>
  </si>
  <si>
    <t>Sviluppo dell’aggregazione e programmazione dell’offerta delle fattorie didattiche</t>
  </si>
  <si>
    <t>Sviluppo nuove attività imprenditoriali per la gestione e la valorizzazione dei beni culturali</t>
  </si>
  <si>
    <t>Riqualificazione dell'offerta ricettiva extra-alberghiera e nuove strutture ricettive extra alberghiere</t>
  </si>
  <si>
    <t>Interventi innovativi di cooperazione nel campo dell'agricoltura sociale</t>
  </si>
  <si>
    <t>Promozione di interventi di educazione alimentare e ambientale</t>
  </si>
  <si>
    <t>Contributi per l`innovazione e il potenziamento delle imprese identitarie extra-agricole</t>
  </si>
  <si>
    <t>Contributi per il finanziamento della multifunzionalita` delle aziedne agricole</t>
  </si>
  <si>
    <t>Contributi per il finanziamento di servizi strategici alla fruizione turistica</t>
  </si>
  <si>
    <t>Contributi a favore delle aziende agricole per l’incentivazione del turismo esperienziale</t>
  </si>
  <si>
    <t>Comunità in rete</t>
  </si>
  <si>
    <t>Contributi per l’innovazione e potenziamento delle imprese identitarie extra-agricole</t>
  </si>
  <si>
    <t>Rafforzamento e diversificazione delle imprese extra-agricole come chiave per una nuova competitività`</t>
  </si>
  <si>
    <t>Investimenti materiali e immateriali nelle aziende agricole</t>
  </si>
  <si>
    <t>Potenziamento dell’ospitalità agrituristica e
riqualificazione dell’esistente, compreso l’agricampeggio</t>
  </si>
  <si>
    <t>Sviluppo/adeguamento e/o potenziamento delle imprese esistenti nel settore dell’artigianato tipico locale (basato su processi di lavorazione tradizionali del settore rurale), nel settore del commercio dei prodotti tipici artigianali, dei prodotti biologici e/o di qualità certificata</t>
  </si>
  <si>
    <t>Laboratori di trasformazione e punti vendita di prodotti non compresi nell’all. 1 del trattato</t>
  </si>
  <si>
    <t>Sviluppo nuove attività imprenditoriali nelle produzioni extra-agricole</t>
  </si>
  <si>
    <t>Sviluppo e potenziamento di laboratori di trasformazione e di commercializzazione di prodotti di cui all’allegato i del trattato</t>
  </si>
  <si>
    <t>Integrazione e potenziamento della rete degli itinerari turistici tematici del gal nuorese baronie</t>
  </si>
  <si>
    <t>Creazione di porte di accesso al territorio e nuovi attrattori</t>
  </si>
  <si>
    <t>Aiuti alle start up per attività turistiche</t>
  </si>
  <si>
    <t>Miglioramento e potenziamento dell`offerta ricettiva extra-alberghiera</t>
  </si>
  <si>
    <t>Creazione di una filiera locale per la produzione dei “culurgionis” d’ogliastra</t>
  </si>
  <si>
    <t>Sostegno alla produzione artigianale e/o tipica dei prodotti ogliastrini</t>
  </si>
  <si>
    <t>Supporto al rafforzamento del sistema dell’ospitalità nel GAL SGT</t>
  </si>
  <si>
    <t>Sostegno a investimenti di fruizione pubblica in infrastrutture turistiche su piccola scala</t>
  </si>
  <si>
    <t>Creazione di itinerari di esperienza a tema</t>
  </si>
  <si>
    <t>Investire nelle tecnologie innovative per le imprese artigiane 2020</t>
  </si>
  <si>
    <t>GAL LOGUDORO GOCEANO</t>
  </si>
  <si>
    <t>Sostegno a investimenti in immobilizzazioni nelle aziende agricole</t>
  </si>
  <si>
    <r>
      <t>20</t>
    </r>
    <r>
      <rPr>
        <b/>
        <vertAlign val="superscript"/>
        <sz val="8"/>
        <color indexed="8"/>
        <rFont val="Arial"/>
        <family val="2"/>
      </rPr>
      <t>(6)</t>
    </r>
  </si>
  <si>
    <r>
      <t>di cui trascinamenti</t>
    </r>
    <r>
      <rPr>
        <b/>
        <vertAlign val="superscript"/>
        <sz val="6"/>
        <color rgb="FF000000"/>
        <rFont val="Arial"/>
        <family val="2"/>
      </rPr>
      <t xml:space="preserve"> (5)</t>
    </r>
  </si>
  <si>
    <t>(5) I recuperi al Q3 del 2021 delle SM 4.1 2a e 6.4.1 2b sono stati attribuiti ai trascinamenti in quanto non si hanno indicazioni certe sull'esatta corrispondenza dei pagamenti recuperati.</t>
  </si>
  <si>
    <t>“Realizzazione di interventi di manutenzione straordinaria, restauro e risanamento conservativo di strutture, immobili e fabbricati, anche isolati, e relativo allestimento, interventi di manutenzione straordinaria, restauro e risanamento conservativo degli elementi tipici e caratteristici del paesaggio agrario e degli spazi comuni, anche a valenza storica e religiosa, tipici dell’ambiente rurale della Gallura e del Monte Acuto”.</t>
  </si>
  <si>
    <t>“Potenziamento/diversificazione dell’offerta attraverso il miglioramento dei servizi legati all’accoglienza favorendo al contempo la nascita di imprese turistiche femminili e giovanili”;</t>
  </si>
  <si>
    <t>“Realizzazione e valorizzazione di itinerari naturalistici, archeologici, enogastrnomici, equestri, culturali, anche attraverso piccoli interventri di adeguamento della sentieristica e cartellonistica e con particolare attenzione ai percorsi disabled-friendly”;</t>
  </si>
  <si>
    <t>“Realizzazione di centri di informazione e accoglienza turistica e relative reti, attraverso l’adeguamento di strutture esistenti, finalizzate a garantire l’accoglienza al visitatore/turista e fornire informazione specifica sull’area e sui prodotti interessati dal percorso dell’itinerario e l’allestimento dei locali”.</t>
  </si>
  <si>
    <t>“Supporto al rafforzamento del sistema dell’Ospitalità nel GAL SGT”</t>
  </si>
  <si>
    <t>“Valorizzazione e sostegno per le produzioni agroalimentari locali come elemento chiave del Turismo Sostenibile e della promozione del Territorio SGT”</t>
  </si>
  <si>
    <t>Sottomisura 7.4 - Servizi di base a livello locale per la popolazione rurale</t>
  </si>
  <si>
    <t>Totale 7.4</t>
  </si>
  <si>
    <t>TRASCINAMENTI 2007-2013</t>
  </si>
  <si>
    <t>16.10</t>
  </si>
  <si>
    <t>Riscoperta delle qualità dei prodotti agroalimentari locali: dalla consapevolezza delle comunità all’offerta commerciale</t>
  </si>
  <si>
    <t>Insediamento giovani (EURI)</t>
  </si>
  <si>
    <t>Insed.giovani
(EURI)</t>
  </si>
  <si>
    <t>Progetti pilota a sostegno della qualificazione e del rafforzamento della filiera della lana e dei suoi derivati</t>
  </si>
  <si>
    <t>Sostegno ai processi di creazione di impresa</t>
  </si>
  <si>
    <t>Educare le nuove generazioni a un`alimentazione locale e sostenibile</t>
  </si>
  <si>
    <t>Sostegno alle imprese agroalimentari locali</t>
  </si>
  <si>
    <t>Sostegno a investimenti per lo sviluppo di nuove imprese extra agricole - Nuove imprese ricettive extra-alberghiere</t>
  </si>
  <si>
    <t>Sviluppo e commercializzazione dei servizi turistici per il turismo rurale: “Reti e itinerari turistici tematizzati”</t>
  </si>
  <si>
    <t xml:space="preserve">Cooperazione di filiera - Investimenti per la creazione e lo sviluppo delle filiere corte e mercati locali e per sostenere le attività promozionali a raggio locale connesse
</t>
  </si>
  <si>
    <t>BANDO ANNULLATO</t>
  </si>
  <si>
    <t>Precision Farming (EURI)</t>
  </si>
  <si>
    <t>Risorse programmate 2014-2022 (1)</t>
  </si>
  <si>
    <t>Investimenti (Bando 2022)</t>
  </si>
  <si>
    <t>Trasformazione prodotti agricoli  (Bando 2022)</t>
  </si>
  <si>
    <t>Progetti individuali 
 (Bando 2022)</t>
  </si>
  <si>
    <t>Energie Rinnovabili (Bando 2022)</t>
  </si>
  <si>
    <t xml:space="preserve">% impegni </t>
  </si>
  <si>
    <t>Incentivi alle filiere delle produzioni agro-artigianali</t>
  </si>
  <si>
    <t xml:space="preserve">Piano Finanziario 
</t>
  </si>
  <si>
    <t>% 
Impegni</t>
  </si>
  <si>
    <t>%
Pagamenti</t>
  </si>
  <si>
    <t>d=c/a</t>
  </si>
  <si>
    <t>f=e/a</t>
  </si>
  <si>
    <t xml:space="preserve">% </t>
  </si>
  <si>
    <t>Risorse programmate (1)</t>
  </si>
  <si>
    <t>Pagamenti (3)</t>
  </si>
  <si>
    <t>Risorse regionali aggiuntive 
(Top up)</t>
  </si>
  <si>
    <t>di cui FEASR</t>
  </si>
  <si>
    <t>Spesa pubblica cofinanziata FEASR</t>
  </si>
  <si>
    <t>Impegni giuridicamente vincolanti totali (2)</t>
  </si>
  <si>
    <t>Risorse programmate 
totali  (1)</t>
  </si>
  <si>
    <t>f</t>
  </si>
  <si>
    <t>l</t>
  </si>
  <si>
    <t>e=d/a</t>
  </si>
  <si>
    <t>Piano Finanziario al netto dei trascinamenti</t>
  </si>
  <si>
    <t>Bando per domanda di sostegno annualità 2022 (triennale)</t>
  </si>
  <si>
    <t>Bando per le annualità: 2015, 2016, 2017,  2018,  2019, 2020, 2021 e 2022</t>
  </si>
  <si>
    <t>Cooperazione per lo sviluppo, promozione e commercializzazione dell'offerta turistica rurale</t>
  </si>
  <si>
    <t> Cooperazione di filiera-Sostegno allo sviluppo di azioni di filiera corta e sostegno ad attività promozionali a raggio locale connesse allo sviluppo delle filiere corte e dei mercati locali</t>
  </si>
  <si>
    <t>Attivazione di una rete del turismo sostenibile</t>
  </si>
  <si>
    <t>Attivazione di una rete del turismo sostenibile per l’adeguamento delle condizioni di mobilità sostenibile all’interno del territorio</t>
  </si>
  <si>
    <t>Sostegno allo sviluppo della di azioni di cooperazione per la diversificazione delle attività agricole in attività relative l’inclusione sociale e sviluppo di progetti di agricoltura sociale</t>
  </si>
  <si>
    <t>anno 2022</t>
  </si>
  <si>
    <t>PIF</t>
  </si>
  <si>
    <t>10.1.5 -Conservazione di razze locali minacciate di abbandono</t>
  </si>
  <si>
    <t>Bando per domanda di sostegno 2022
Maggio 2022</t>
  </si>
  <si>
    <t>Apertura Aprile 2022 - Bando domande di sostegno</t>
  </si>
  <si>
    <t>Costituzione dei Club di Prodotto</t>
  </si>
  <si>
    <t>Investire sulle aziende pastorali che utilizzano il pascolo naturale</t>
  </si>
  <si>
    <t>Cercare i parametri di qualita dei prodotti zootecnici</t>
  </si>
  <si>
    <t>Strutture Ricettive in Aziende Agricole su fabbricati esistenti</t>
  </si>
  <si>
    <t>Valorizzazione di sentieri, itinerari e cammini</t>
  </si>
  <si>
    <t>Attivazione di investimenti per lo sviluppo di imprese extra agricole esistenti</t>
  </si>
  <si>
    <t>(*) Le manifestazioni di interesse finanziabili sono aggiornate rispetto al 3° scorrimento del 05.08.2022</t>
  </si>
  <si>
    <t>6.4.1</t>
  </si>
  <si>
    <t>6.4.2</t>
  </si>
  <si>
    <t>“Supporto al rafforzamento del sistema dell’Ospitalità nel GAL SGT"</t>
  </si>
  <si>
    <t>Valorizzazione e sostegno per le produzioni agroalimentari locali come elemento chiave del Turismo Sostenibile e della promozione del Territorio SGT</t>
  </si>
  <si>
    <t>(1) Le risorse  finanziarie della misura 19 sono state incrementate con risorse regionali di cui al DECRETO N. 3583 DEC A/60 DEL 26 NOVEMBRE 2021.</t>
  </si>
  <si>
    <t>40262 
I e II STEP</t>
  </si>
  <si>
    <t>Sostegno alle imprese localizzate e integrate con la rete dei sentieri e delle comunità</t>
  </si>
  <si>
    <t>Creazione di itinerari di esperienza a tema 2023</t>
  </si>
  <si>
    <t>Sviluppo di nuove attività imprenditoriali per la gestione e la valorizzazione dei beni culturali</t>
  </si>
  <si>
    <t>Sviluppo di nuove attività imprenditoriali nelle produzioni extra – agricole</t>
  </si>
  <si>
    <t>Comunità in rete e solidali</t>
  </si>
  <si>
    <t>Creazione di nuovi servizi in ambito sociale</t>
  </si>
  <si>
    <t>Sostegno a investimenti a favore della trasformazione, della commercializzazione e/o dello sviluppo dei prodotti agricoli</t>
  </si>
  <si>
    <t>Nuove attività imprenditoriali di artigianato innovativo, bioeconomia e green economy</t>
  </si>
  <si>
    <t>Contributi per l’innovazione e potenziamento delle imprese identitarie extra-agricole II annualità</t>
  </si>
  <si>
    <t>Contributi per il finanziamento di servizi strategici alla fruizione turistica II annualità</t>
  </si>
  <si>
    <t>Sostegno ai processi di innovazione per imprese esistenti</t>
  </si>
  <si>
    <t>Centri per l’interpretazione del paesaggio</t>
  </si>
  <si>
    <t>Sostegno alla produzione agricola collegata alle produzioni agroalimentari locali ad esclusione di quelle coinvolta nella filiera della pasta fresca tradizionale locale</t>
  </si>
  <si>
    <t>Creazione di una filiera corta sostenibile e solidale</t>
  </si>
  <si>
    <t>Investimenti per itinerari turistici, aree attrezzate e percorsi segnalati e loro messa in rete</t>
  </si>
  <si>
    <t>Sostegno a investimenti alle aziende agricole per la diversificazione e sviluppo di attività extra agricole</t>
  </si>
  <si>
    <t>Adeguare gli spazi per le attività culturali– secondo bando</t>
  </si>
  <si>
    <t>Investire nelle tecnologie innovative per le start up artigiane</t>
  </si>
  <si>
    <t>Risparmio idrico 
(Bando 2023)</t>
  </si>
  <si>
    <t>Avvio di nuove attività imprenditoriali nel settore del
turismo sostenibile</t>
  </si>
  <si>
    <t>Contributi per il finanziamento della multifunzionalità delle aziende agricole - II annualità</t>
  </si>
  <si>
    <t>4.3.2 -Risparmio idrico 
(Bando 2023)</t>
  </si>
  <si>
    <t>Sostegno per la promozione della cooperazione tra aziende agricole e altri soggetti della filiera agroalimentare</t>
  </si>
  <si>
    <t>Sostegno per la promozione della cooperazione tra aziende agricole e altri soggetti della filiera agroalimentare per la creazione di un marchio di prodotto</t>
  </si>
  <si>
    <r>
      <t xml:space="preserve">Fine impegno con domande annualità 2024
</t>
    </r>
    <r>
      <rPr>
        <b/>
        <sz val="8"/>
        <color theme="1"/>
        <rFont val="Arial"/>
        <family val="2"/>
      </rPr>
      <t>Annualità a valere sul PSR 14-22: 2020-2021 e 2022</t>
    </r>
  </si>
  <si>
    <t>anno 2023</t>
  </si>
  <si>
    <t>Strutture ricettive in aziende agricole su fabbricati rurali esistenti</t>
  </si>
  <si>
    <t>Sostegno a investimenti nelle aziende agricole per la diversificazione e lo sviluppo di attività extra agricole (Agricoltura sociale)”</t>
  </si>
  <si>
    <t>“Riqualificazione dell’offerta ricettiva extra-alberghiera e nuove strutture ricettive extra-alberghiere”</t>
  </si>
  <si>
    <t>Sostegno a investimenti materiali e immateriali per rafforzare la fruizione e la comunicazione del territorio al fine di supportare le filiere e i sistemi produttivi locali</t>
  </si>
  <si>
    <t>Rete dell’accoglienza: ospitalità “supporto al rafforzamento del sistema dell’ospitalità nel GAL SGTt” per persone fisiche</t>
  </si>
  <si>
    <t xml:space="preserve">Sostegno alla Trasformazione e commercializzazione dei prodotti agricoli collegati alla filiera della pasta fresca </t>
  </si>
  <si>
    <t xml:space="preserve">Target  N+3 </t>
  </si>
  <si>
    <t>Delta</t>
  </si>
  <si>
    <t>% sul Target</t>
  </si>
  <si>
    <t>c =b-a</t>
  </si>
  <si>
    <t>d =b/a</t>
  </si>
  <si>
    <t>Bando per domanda di sostegno 2021
 (triennale)</t>
  </si>
  <si>
    <t xml:space="preserve">Fine impegno con domanda annualità 2024
</t>
  </si>
  <si>
    <t>(1) Per le misure non a superficie/capo le risorse programmate corrispondono alle risorse messe a bando.
 Per il tipo di intervento 10.1.1 le risorse programmate corrispondono con la dotazione finanziaria assegnata al tipo di intervento</t>
  </si>
  <si>
    <t>Progetti con solo Anticipi</t>
  </si>
  <si>
    <t>Progetti con solo SAL</t>
  </si>
  <si>
    <t>Progetti con solo Saldi</t>
  </si>
  <si>
    <t>Strutture ricettive extra-agricole (bando 2023)</t>
  </si>
  <si>
    <t>Riqualificazione e adeguamento di immobili, acquisto arredi e attrezzature per lo svolgimento di altre attività ricettive di piccole dimensioni</t>
  </si>
  <si>
    <t>Realizzazione di attività legate alle piccole ricettività low cost, anche in funzione di una rivitalizzazione dei centri storici (albergo diffuso)</t>
  </si>
  <si>
    <t>Potenziamento dell’ospitalità agrituristica e riqualificazione dell’esistente, compreso l’agricampeggio</t>
  </si>
  <si>
    <t>Realizzazione di spazi attrezzati per il turismo equestre, per attività didattiche e/o sociali in fattoria</t>
  </si>
  <si>
    <t>Riqualificazione dell’offerta ricettiva extra-alberghiera e nuove strutture ricettive extra-alberghiere</t>
  </si>
  <si>
    <t>Sostegno allo sviluppo di azioni di cooperazione per la diversificazione delle attività agricole in attività relative all’inclusione sociale e sviluppo di progetti di agricoltura sociale (Agrisociale)</t>
  </si>
  <si>
    <t>7.2</t>
  </si>
  <si>
    <t>Investimenti per la creazione, il miglioramento o l'espansione delle energie rinnovabili</t>
  </si>
  <si>
    <t xml:space="preserve"> Importo stanziato per bando post rimodulazione</t>
  </si>
  <si>
    <t>Eventi calamitosi verificatisi a novembre 2020 a luglio 2021</t>
  </si>
  <si>
    <t>72883</t>
  </si>
  <si>
    <t>(1)  Per le misure non a superficie/capo le risorse programmate corrispondono alle risorse messe a bando e/o programmate con decreto per eventuali scorrimenti delle graduatorie. 
 Per il tipo di intervento 10.1.5 le risorse programmate corrispondono con la dotazione finanziaria assegnata al tipo di intervento.</t>
  </si>
  <si>
    <t>Sostegno a investimenti per la realizzazione di piccoli impianti aziendali di trasformazione e/o spazi attrezzati per la vendita di prodotti aziendali</t>
  </si>
  <si>
    <t>Rete, sia orizzontale che verticale, tra aziende agricole e altri soggetti della filiera del vino</t>
  </si>
  <si>
    <t>Rete, sia orizzontale che verticale, tra aziende agricole e altri soggetti della filiera del grano</t>
  </si>
  <si>
    <t>Rete, sia orizzontale che verticale, tra aziende agricole e altri soggetti della filiera dell'olio</t>
  </si>
  <si>
    <t>Rete, sia orizzontale che verticale, tra aziende agricole e altri soggetti della filiera dell'ortofrutta</t>
  </si>
  <si>
    <t>Supporto al rafforzamento del sistema dell’Ospitalità</t>
  </si>
  <si>
    <t>Supporto al rafforzamento del sistema dell’Ospitalità - B&amp;B</t>
  </si>
  <si>
    <t>Smart village, servizi essenziali per la popolazione rurale – sostegno agli investimenti finalizzati all’introduzione, al miglioramento o all’espansione di servizi di base a livello locale comprese le attività culturali</t>
  </si>
  <si>
    <t>Realizzazione di infrastrutture turistiche su piccola scala</t>
  </si>
  <si>
    <t>Centri per l’interpretazione del paesaggio - II BANDO</t>
  </si>
  <si>
    <t>Sostegno ai processi di innovazione per imprese esistenti oltre il turismo</t>
  </si>
  <si>
    <t>Valorizzazione dei beni identitari come manifesto del turismo sostenibile</t>
  </si>
  <si>
    <t>Creazione di una filiera corta sostenibile e solidale (2024)</t>
  </si>
  <si>
    <t>4.1, 4.2, 6.4</t>
  </si>
  <si>
    <t>Promozione e valorizzazione delle filiere di qualità: selezione di Progetti Integrati di Filiera (PIF) e Integrati di Rete (PIRT)</t>
  </si>
  <si>
    <t>78631
78681
78701</t>
  </si>
  <si>
    <t xml:space="preserve">RISORSE TOP UP </t>
  </si>
  <si>
    <t>(1) ARGEA fornirà sucessivamente i dati delle domande di rinuncia, perciò le domande di sostegno con concessione non sono aggiornate</t>
  </si>
  <si>
    <t xml:space="preserve">* il dato delle DS presentate  è compreso di rinunce e bocciate, mentre per quanto riguarda le DP presentate il dato è al netto delle DP rinunciate e bocciate. </t>
  </si>
  <si>
    <t>(1) L'importo stanziato per bando della 4.3.1 è compreso di ulteriori risorse top up per € 4.950.000 non ancora inserite nel PF del PSR vers.9.1 - DECRETO N. 4489 / DECA 63 DEL 23/12/2022</t>
  </si>
  <si>
    <t>Sottomisura 7.1 - Sostegno per la stesura e l'aggiornamento di piani di sviluppo dei comuni e dei villaggi situati nelle zone rurali e dei servizi comunali di base, nonché di piani di tutela e di gestione dei siti Natura 2000 e di altre zone ad alto valore naturalistico</t>
  </si>
  <si>
    <t>Sottomisura 6.4 - Sostegno a investimenti nella creazione e nello sviluppo di attività extra-agricole</t>
  </si>
  <si>
    <t>13.1</t>
  </si>
  <si>
    <t>Bando 2007-2013 - ex 221</t>
  </si>
  <si>
    <t>Bando annualità 2024</t>
  </si>
  <si>
    <t>Stima economie</t>
  </si>
  <si>
    <t>negative e revoche</t>
  </si>
  <si>
    <t>Servizi di consulenza (Bando 2023)</t>
  </si>
  <si>
    <t>Creazione di itinerari tematici, mirato a valorizzare e promuovere, attraverso la creazione di itinerari tematici e/o sentieri accatastabili alla R.E.S., il patrimonio naturalistico, culturale, archeologico</t>
  </si>
  <si>
    <t>Sostegno a investimenti nelle aziende agricole</t>
  </si>
  <si>
    <t>Trasformazione, commercializzazione e sviluppo di prodotti agricoli</t>
  </si>
  <si>
    <t>40742**</t>
  </si>
  <si>
    <t>** I pagamenti saranno rettificati una volta terminate le procedure di recupero, in quanto 2 beneficiari hanno rinunciato al finanziamento. L'importo da recuperare è pari a € 39.048,86 relativo a 2 anticipi.</t>
  </si>
  <si>
    <t>SM</t>
  </si>
  <si>
    <t>% IMPEGNI</t>
  </si>
  <si>
    <t>% PAGAMENTI</t>
  </si>
  <si>
    <t>Totale M19</t>
  </si>
  <si>
    <t>g</t>
  </si>
  <si>
    <t>6-4-1 - Diversificazione</t>
  </si>
  <si>
    <t>5081**</t>
  </si>
  <si>
    <t>1 - GAL ANGLONA ROMANGIA</t>
  </si>
  <si>
    <t>2 - GAL BARBAGIA</t>
  </si>
  <si>
    <t>3 - GAL BARIGADU GUILCER</t>
  </si>
  <si>
    <t>4 - GAL CAMPIDANO</t>
  </si>
  <si>
    <t>5 - Distretto Rurale BMG</t>
  </si>
  <si>
    <t>6 - GAL GALLURA</t>
  </si>
  <si>
    <t xml:space="preserve">7 - GAL LINAS </t>
  </si>
  <si>
    <t>8 - GAL LOGUDORO GOCEANO</t>
  </si>
  <si>
    <t>9 - GAL MARGHINE</t>
  </si>
  <si>
    <t>10 - GAL  MARMILLA</t>
  </si>
  <si>
    <t>11 - GAL NUORESE BARONIA</t>
  </si>
  <si>
    <t>12 - GAL OGLIASTRA</t>
  </si>
  <si>
    <t xml:space="preserve">13 - GAL SARCIDANO </t>
  </si>
  <si>
    <t>14 - GAL SGT</t>
  </si>
  <si>
    <t>15 - GAL SINIS</t>
  </si>
  <si>
    <t>16 - GAL SULCIS</t>
  </si>
  <si>
    <t>17 - GAL TERRAS DE OLIA</t>
  </si>
  <si>
    <t>PROGRAMMATO DA DECRETO N. 3583 DEC A/60 DEL 26 NOVEMBRE 2021</t>
  </si>
  <si>
    <t>Sostegno a interventi di riqualificazione di spazi di fruizione pubblica</t>
  </si>
  <si>
    <t>d=b+c</t>
  </si>
  <si>
    <t>h=f+g</t>
  </si>
  <si>
    <t>i=h/a</t>
  </si>
  <si>
    <t>CONTRATTI DI RETE</t>
  </si>
  <si>
    <t>POTENZIAMENTO DELL`OFFERTA TURISTICA CON I GRANDI ATTRATTORI DEL SETTORE PUBBLICO</t>
  </si>
  <si>
    <t>di cui azioni di sistema</t>
  </si>
  <si>
    <r>
      <t xml:space="preserve">Sottomisura 10.2 - Sostegno per la conservazione, l'uso e lo sviluppo sostenibili delle risorse genetiche in agricoltura  </t>
    </r>
    <r>
      <rPr>
        <b/>
        <sz val="11"/>
        <color rgb="FFFF0000"/>
        <rFont val="Calibri"/>
        <family val="2"/>
        <scheme val="minor"/>
      </rPr>
      <t>(PROGETTO REVOCATO)</t>
    </r>
  </si>
  <si>
    <t>Progetti Integrati di Filiera (PIF)</t>
  </si>
  <si>
    <t>(6) Le domande di sostegno e di pagamento della misura di Assistenza tecnica sono in corso di presentazione e di istruttoria sul Sistema SIAN.</t>
  </si>
  <si>
    <t>ANNULLATO E RIEMANATO A LUGLIO 2024 NUOVO BANDO PIF</t>
  </si>
  <si>
    <t>Programmazione 2014-2022</t>
  </si>
  <si>
    <t>Programmazione 2007-2013 - ex 214.2</t>
  </si>
  <si>
    <t>Programmazione 2007-2013 - ex 214.6</t>
  </si>
  <si>
    <t>Programmazione 2007-2013- ex 214.7</t>
  </si>
  <si>
    <t>Programmazione 2007-2013 - ex 214.4.2</t>
  </si>
  <si>
    <r>
      <t xml:space="preserve">Fine impegno con domanda annualità 2023 - 
</t>
    </r>
    <r>
      <rPr>
        <b/>
        <sz val="8"/>
        <color theme="1"/>
        <rFont val="Arial"/>
        <family val="2"/>
      </rPr>
      <t>Annualità programmate nel PSR 14-22: 2021 e 2022</t>
    </r>
  </si>
  <si>
    <t xml:space="preserve">Programmazione 2014-2022
</t>
  </si>
  <si>
    <t>Programmazione 2014-2022 - Bando 2020</t>
  </si>
  <si>
    <r>
      <t xml:space="preserve">Chiusura luglio 2020 - Fine impegno con domande annualità 2024
</t>
    </r>
    <r>
      <rPr>
        <b/>
        <sz val="8"/>
        <color theme="1"/>
        <rFont val="Arial"/>
        <family val="2"/>
      </rPr>
      <t>Annualità programmate nel PSR 14-22: 2020-2021 e 2022</t>
    </r>
  </si>
  <si>
    <t>Programmazione 2014-2022 - Bando 2021 
(Risorse TOP UP)</t>
  </si>
  <si>
    <t>Chiusura luglio 2020 - Fine impegno con domande annualità 2024</t>
  </si>
  <si>
    <t>Programmazione 2007-2013 - ex 214.1</t>
  </si>
  <si>
    <r>
      <t xml:space="preserve">Fine impegno con domande annualità 2023
</t>
    </r>
    <r>
      <rPr>
        <b/>
        <sz val="8"/>
        <color theme="1"/>
        <rFont val="Arial"/>
        <family val="2"/>
      </rPr>
      <t>Annualità programmate nel PSR 14-22: 2019-2020-2021 e 2022</t>
    </r>
  </si>
  <si>
    <r>
      <t xml:space="preserve">Fine impegno con domande annualità 2023
</t>
    </r>
    <r>
      <rPr>
        <b/>
        <sz val="8"/>
        <color theme="1"/>
        <rFont val="Arial"/>
        <family val="2"/>
      </rPr>
      <t>Annualità programmate nel  PSR 14-22: 2021 e 2022</t>
    </r>
  </si>
  <si>
    <r>
      <t xml:space="preserve">Fine impegno con domande annualità 2024
</t>
    </r>
    <r>
      <rPr>
        <b/>
        <sz val="8"/>
        <color theme="1"/>
        <rFont val="Arial"/>
        <family val="2"/>
      </rPr>
      <t>Annualità programmate nel  PSR 14-22: 2022</t>
    </r>
  </si>
  <si>
    <t>Bando annualità 2025</t>
  </si>
  <si>
    <t>Programmazione 2014-2020</t>
  </si>
  <si>
    <t>Annualita  2016-2017-2018, 2019, 2020, 2021, 2022 e 2025</t>
  </si>
  <si>
    <t>Programmazione 2007-2013 - ex 225</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</si>
  <si>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presentate a valere sulla programmazione 2014-2022 per ciascuna Misura/Tipo intervento. 
Per le misure non a superficie le risorse programmate del fondo FEASR corrispondono all'importo stanziato per i bandi nel caso in cui l'importo delle domande presentate è pari o superiore all'importo stanziato per il bando, mentre nel caso in cui le domande presentate hanno un importo complessivo inferiore all'importo stanziato per bando è stato utilizzato l'importo delle domande finanziabili o gli importi degli impegni nel caso di istruttorie concluse.</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</si>
  <si>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presentate a valere sulla programmazione 2014-2022 per ciascuna Misura/Tipo intervento.  Per le misure non a superficie/capo le risorse programmate corrispondono alle risorse messe a bando, meno le eventuali risorse residue per domande presentate  insufficienti rispetto al budget, più le risorse aggiuntive per eventuali scorrimenti delle graduatorie, più i trascinamenti.</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</si>
  <si>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a valere sulla programmazione 2014-2022 per ciascuna Misura/Tipo intervento. Per le misure non a superficie/capo le risorse programmate corrispondono alle risorse messe a bando, meno le eventuali risorse residue per domande presentate  insufficienti rispetto al budget, più le risorse aggiuntive per eventuali scorrimenti delle graduatorie, più i trascinamenti.</t>
  </si>
  <si>
    <t>Piano Finanziario</t>
  </si>
  <si>
    <t>(1) Per le misure non a superficie, l'importo riportato corrisponde a quanto previsto nel bando.  
Per le misure connesse alle superfici e animali è stato inserito l'importo del fabbisogno per tutte le annualità sotto impegno nella programmazione 14-22</t>
  </si>
  <si>
    <t>Descrizione Bando/ Programmazione</t>
  </si>
  <si>
    <t>di cui quota FEASR</t>
  </si>
  <si>
    <t>h=f/a</t>
  </si>
  <si>
    <t>n</t>
  </si>
  <si>
    <t>Obiettivo di spesa (N+3) al 31/12/2025</t>
  </si>
  <si>
    <t>(quota FEASR)</t>
  </si>
  <si>
    <t xml:space="preserve">(quota FEASR) </t>
  </si>
  <si>
    <t>EURI</t>
  </si>
  <si>
    <t xml:space="preserve">(EURI) </t>
  </si>
  <si>
    <t xml:space="preserve">( EURI) </t>
  </si>
  <si>
    <t>EURI aggiuntivi</t>
  </si>
  <si>
    <t>Totale spesa cof. FEASR + Euri</t>
  </si>
  <si>
    <t>m</t>
  </si>
  <si>
    <t>p</t>
  </si>
  <si>
    <t>Spesa cofinanziata FEASR+Euri</t>
  </si>
  <si>
    <t>Domande di pagamento presentate*
al 20/08/2025</t>
  </si>
  <si>
    <t>Pagamenti erogati al 20/08/2025</t>
  </si>
  <si>
    <t>SOSTEGNO A INVESTIMENTI PER L’ACQUISTO DI MACCHINARI E ATTREZZATURE PER L’INTRODUZIONE, MIGLIORAMENTO E/O ESPANSIONE DI SERVIZI DI BASE A LIVELLO LOCALE PER LA POPOLAZIONE RURALE IN AMBITO SOCIALE, SANITARIO, EDUCATIVO, CULTURALE, SPORTIVO E RICREATIVO</t>
  </si>
  <si>
    <t>Sostegno ai servizi di base a livello locale per la popolazione rurale</t>
  </si>
  <si>
    <t>Smart village - servizi essenziali per la popolazione rurale - sostegno agli investimenti finalizzati all'introduzione, al miglioramento o all'espansione di servizi di base a livello locale comprese le attività culturali – ricreative</t>
  </si>
  <si>
    <t>Sostegno a investimenti finalizzati all’introduzione, al miglioramento o all’espansione di servizi di base a livello locale per la popolazione rurale, comprese le attività culturali e ricreative, e della relativa infrastruttura</t>
  </si>
  <si>
    <t>Smart village. Servizi essenziali per la popolazione rurale</t>
  </si>
  <si>
    <t>Sostegno ai servizi di base a livello locale per la popolazione rurale, dedicato all’introduzione, miglioramento e/o espansione di servizi in ambito sociale, sanitario, educativo, culturale, sportivo e ricreativo.</t>
  </si>
  <si>
    <t>Smart village - servizi rurali</t>
  </si>
  <si>
    <t>Domande di sostegno istruite al 20/08/2025**</t>
  </si>
  <si>
    <t>**I dati delle domande di sostegno istruite del bando 40262 sono stati comunicati da ARGEA il 21.07.2025</t>
  </si>
  <si>
    <t>**I dati delle domande di sostegno sono stati comunicati da ARGEA il 21.07.2025</t>
  </si>
  <si>
    <t>**I dati delle domande finanziabili sono stati comunicati da ARGEA il 21.07.2025</t>
  </si>
  <si>
    <t>Domande finanziabili**</t>
  </si>
  <si>
    <t>**I dati delle domande di sostegno finanziabili del bando 1727 sono stati comunicati da ARGEA il 21.07.2025</t>
  </si>
  <si>
    <t>**I dati delle domande di sostegno finanziabili sono stati comunicati da ARGEA il 21.07.2025</t>
  </si>
  <si>
    <t>(*) I dati delle domande di sostegno istruite e finanziabili sono stati comunicati da ARGEA il 21.07.2025</t>
  </si>
  <si>
    <t>** I dati delle domande di sostegno istruite e finanziabili sono stati comunicati da ARGEA il 21.07.2025</t>
  </si>
  <si>
    <t>** I dati delle domande di sostegno  finanziabili sono stati comunicati da ARGEA il 21.07.2025</t>
  </si>
  <si>
    <t>**I dati delle domande di sostegno istruite e finanziabili sono stati comunicati da ARGEA il 01.09.2025</t>
  </si>
  <si>
    <t>** I dati delle domande di sostegno del bando 39502 sono stati comunicati da ARGEA il 21.07.2025</t>
  </si>
  <si>
    <t>**Le DS finanziabili e istruite con atto di concessione sono 20 e ammontano a € 2.407.205,16 - dato cumulato comunicato da ARGEA in data 21.07.2025</t>
  </si>
  <si>
    <t>(3)  I pagamenti al 30.06.2025 riguardano le erogazioni dell'OP Agea e dell'OP Argea fino all'elenco di pagamento n. 91 (inclusi i mandati diretti AGEA e ARGEA), al netto dei recuperi inseriti nelle dichiarazioni di spesa alla data del 31.03.2025</t>
  </si>
  <si>
    <t>Importi da spendere al 31.12.2025</t>
  </si>
  <si>
    <t>RISORSE EURI</t>
  </si>
  <si>
    <t>Spesa cofinanziata FEASR</t>
  </si>
  <si>
    <t>i=a-f</t>
  </si>
  <si>
    <t>l=b-g</t>
  </si>
  <si>
    <t>Importi da spendere</t>
  </si>
  <si>
    <r>
      <t xml:space="preserve">Programma di Sviluppo Rurale 2014 - 2022
Stato di attuazione misure 
</t>
    </r>
    <r>
      <rPr>
        <sz val="10"/>
        <color theme="1"/>
        <rFont val="Arial"/>
        <family val="2"/>
      </rPr>
      <t>(30 settembre 2025)</t>
    </r>
  </si>
  <si>
    <t>Pagamenti al 30/09/2025 (4)</t>
  </si>
  <si>
    <t>PSR SARDEGNA 2014-2022 - STATO ATTUAZIONE DELLE MISURE AL 30/09/2025</t>
  </si>
  <si>
    <t xml:space="preserve">(2) Per le misure non a superficie gli impegni giuridicamente vincolanti riguardano le concessioni al 30/09/2025. Per le misure connesse alle superfici e animali, ad eccezione degli anni di campagna 2019, 2020, 2021,  2022 e 2023 dove è stato considerato l'importo dei pagamenti erogati per tali campagne, l'importo impegnato corrisponde per domande annuali con il fabbisogno finanziario stimato per ogni annualità, per le misure pluriennali con il fabbisogno finanziario stimato per le domande presentate per ciascuna Misura/Tipo intervento. </t>
  </si>
  <si>
    <t>(4) I pagamenti al 30.09.2025 riguardano le erogazioni dell'OP Agea e dell'OP Argea fino all'elenco di pagamento n. 94 (inclusi i mandati diretti AGEA e ARGEA), al netto dei recuperi inseriti nelle dichiarazioni di spesa alla data del 30.06.2025</t>
  </si>
  <si>
    <t>(3) I pagamenti al 30.09.2025 riguardano le erogazioni dell'OP Agea e dell'OP Argea fino all'elenco di pagamento n. 94 (inclusi i mandati diretti AGEA e ARGEA), al netto dei recuperi inseriti nelle dichiarazioni di spesa alla data del 30.06.2025</t>
  </si>
  <si>
    <t xml:space="preserve">(3) I pagamenti al 30.09.2025 riguardano le erogazioni dell'OP Agea e dell'OP Argea fino all'elenco di pagamento n. 94 (inclusi i mandati diretti AGEA e ARGEA), al netto dei recuperi inseriti nelle dichiarazioni di spesa alla data del 30.06.2025 </t>
  </si>
  <si>
    <t>Fonte: SIAN - Report DSS AST2-01 e AST2-02 del 30.09.2025 e le erogazioni dell'OP Agea e dell'OP Argea fino all'elenco di pagamento n. 94 (inclusi i mandati diretti AGEA e ARGEA), al netto dei recuperi inseriti nelle dichiarazioni di spesa alla data del  30.06.2025.</t>
  </si>
  <si>
    <t>(2) Per le misure non a superficie gli impegni giuridicamente vincolanti riguardano le concessioni al 30/09/2025, per le misure connesse alle superfici e animali, ad eccezione degli anni di campagna 2019, 2020, 2021,  2022 e 2023 dove è stato considerato l'importo dei pagamenti erogati per tali campagne, l'importo impegnato corrisponde per domande annuali con il fabbisogno finanziario stimato per ogni annualità, per le misure pluriennali con il fabbisogno finanziario stimato per le domande presentate per ciascuna Misura/Tipo intervento.</t>
  </si>
  <si>
    <t>(2) Per il tipo di intervento 10.1.1 gli impegni giuridicamente vincolanti corrispondono con la dotazione finanziaria assegnata al tipo di intervento. 
Per le misure non a superficie gli impegni giuridicamente vincolanti riguardano le concessioni al 30/09/2025</t>
  </si>
  <si>
    <t>(2) Per le misure non a superficie gli impegni giuridicamente vincolanti riguardano le concessioni al 30/09/2025. 
Per il tipo di intervento 10.1.5  gli impegni giuridicamente vincolanti corrispondono con la dotazione finanziaria assegnata al tipo di intervento.</t>
  </si>
  <si>
    <r>
      <t>(2) Per le misure non a superficie gli impegni giuridicamente vincolanti riguardano le concessioni al</t>
    </r>
    <r>
      <rPr>
        <sz val="7.5"/>
        <rFont val="Arial"/>
        <family val="2"/>
      </rPr>
      <t xml:space="preserve"> 30/09/2025</t>
    </r>
    <r>
      <rPr>
        <sz val="7.5"/>
        <color theme="1"/>
        <rFont val="Arial"/>
        <family val="2"/>
      </rPr>
      <t>, per le misure connesse alle superfici e animali corrispondono agli importi stimati del fabbisogno finanziario per le domande sotto impegno e per tutto il periodo d'impegno.</t>
    </r>
  </si>
  <si>
    <t>Domande di sostegno istruite al 30/09/2025</t>
  </si>
  <si>
    <t>Domande di pagamento presentate*
al 30/09/2025</t>
  </si>
  <si>
    <t>Pagamenti erogati al 30/09/2025</t>
  </si>
  <si>
    <t>Domande di sostegno istruite al 30/09/2025**</t>
  </si>
  <si>
    <t>Riegilogo finanziario della misura 19 per sottomisura al 30/09/2025</t>
  </si>
  <si>
    <t>PAGAMENTI al 30/09/2025*</t>
  </si>
  <si>
    <t>IMPEGNI al 30/09/2025*</t>
  </si>
  <si>
    <t>* Impegni e pagamenti, comprensivi delle azioni di sistema, al netto dei trascinamenti.
I pagamenti al 30.09.2025 riguardano le erogazioni dell'OP Agea e dell'OP Argea fino all'elenco di pagamento n. 94 (inclusi i mandati diretti AGEA e ARGEA), al netto dei recuperi inseriti nelle dichiarazioni di spesa alla data del 30.06.2025</t>
  </si>
  <si>
    <t>Riegilogo finanziario della sottomisura 19.2 per GAL al 30/09/2025</t>
  </si>
  <si>
    <t>IMPEGNI AZIONI DI SISTEMA al 30/09/2025*</t>
  </si>
  <si>
    <t>IMPEGNI BANDI LEADER al 30/09/2025*</t>
  </si>
  <si>
    <t>IMPEGNI TOTALI 19.2 al 30/09/2025*</t>
  </si>
  <si>
    <t>PAGAMENTI AZIONI DI SISTEMA al 30/09/2025*</t>
  </si>
  <si>
    <t>PAGAMENTI BANDI LEADER al 30/09/2025*</t>
  </si>
  <si>
    <t>PAGAMENTI TOTALI 19.2 al 30/09/2025*</t>
  </si>
  <si>
    <t>* Impegni e pagamenti, comprensivi delle azioni di sistema, al netto dei trascinamenti
I pagamenti al 30.09.2025 riguardano le erogazioni dell'OP Agea e dell'OP Argea fino all'elenco di pagamento n. 94 (inclusi i mandati diretti AGEA e ARGEA), al netto dei recuperi inseriti nelle dichiarazioni di spesa alla data del 30.06.2025</t>
  </si>
  <si>
    <t>PSR SARDEGNA 2014-2022 - STATO ATTUAZIONE DELLE MISURE AL 30/09/2025 - FONDO FEASR</t>
  </si>
  <si>
    <t>Pagamenti al 30/09/2025 (3)</t>
  </si>
  <si>
    <t>PSR SARDEGNA 2014-2022 - STATO ATTUAZIONE EURI AL 30/09/2025</t>
  </si>
  <si>
    <t>PSR SARDEGNA 2014-2022 - STATO ATTUAZIONE TOP UP AL 30/09/2025</t>
  </si>
  <si>
    <t>PSR SARDEGNA 2014-2022 - IMPEGNI AL 30/09/2025 SULLE RISORSE PROGRAMMATE NEL 2014-2022 
 SPESA PUBBLICA FEASR+EURI</t>
  </si>
  <si>
    <t>Avanzamento procedurale al 30/09/2025</t>
  </si>
  <si>
    <t>Avanzamento procedurale bandi a regia GAL al 30/09/2025</t>
  </si>
  <si>
    <t>M8 - Investimenti nello sviluppo delle aree forestali e nel miglioramento della redditività delle foreste</t>
  </si>
  <si>
    <t>Misura
Sottomisura</t>
  </si>
  <si>
    <t>Piano finanziario
(Euro)</t>
  </si>
  <si>
    <r>
      <t>Stima fabbisogno finanziario domande di sostegno sotto impegno</t>
    </r>
    <r>
      <rPr>
        <b/>
        <sz val="8"/>
        <color rgb="FF000000"/>
        <rFont val="Arial"/>
        <family val="2"/>
      </rPr>
      <t xml:space="preserve">
(Euro)</t>
    </r>
  </si>
  <si>
    <t>Anno campagna</t>
  </si>
  <si>
    <t>Programmazione 2007-2013</t>
  </si>
  <si>
    <t>Pagamenti al 30.09.2025 al netto dei recuperi
(Euro)</t>
  </si>
  <si>
    <t>Importo FEASR da spendere al 31.12.2025</t>
  </si>
  <si>
    <t>Spesa pubblica</t>
  </si>
  <si>
    <t>Spesa FEASR</t>
  </si>
  <si>
    <t>N.
domande</t>
  </si>
  <si>
    <r>
      <t>Stima fabbisogno finanziario</t>
    </r>
    <r>
      <rPr>
        <b/>
        <sz val="8"/>
        <color rgb="FF000000"/>
        <rFont val="Arial"/>
        <family val="2"/>
      </rPr>
      <t xml:space="preserve">
(Euro)</t>
    </r>
  </si>
  <si>
    <t>N.  Domande presentate</t>
  </si>
  <si>
    <t>N. Domande liquidate</t>
  </si>
  <si>
    <t>N. Domande 
da liquidare</t>
  </si>
  <si>
    <t xml:space="preserve"> % trascinamenti</t>
  </si>
  <si>
    <t>i</t>
  </si>
  <si>
    <t>o</t>
  </si>
  <si>
    <t>p=(o/n)</t>
  </si>
  <si>
    <t>q</t>
  </si>
  <si>
    <t>r</t>
  </si>
  <si>
    <t>8.1</t>
  </si>
  <si>
    <t>Precedenti al 2015</t>
  </si>
  <si>
    <t>nd</t>
  </si>
  <si>
    <t>Totale M8.1</t>
  </si>
  <si>
    <t>Fonte: SIAN  - Pagamenti erogati dall'OP AGEA e dall'OP ARGEA, fino all'elenco di pagamento n. 94 (inclusi i mandati diretti AGEA e ARGEA aggionati al 03.03.2025 ), al netto dei recuperi inseriti nelle dichiarazioni di spesa alla data del 30.06.2025 (al Q2 2025)</t>
  </si>
  <si>
    <t>M10 - Pagamenti agro-climatico-ambientali - Risorse FEASR+EURI</t>
  </si>
  <si>
    <t>Piano finanziario
 (Euro)</t>
  </si>
  <si>
    <t>Importo FEASR+EURI da spendere al 31.12.2025</t>
  </si>
  <si>
    <t>Spesa FEASR +EURI</t>
  </si>
  <si>
    <r>
      <t>Stima fabbisogno finanziario</t>
    </r>
    <r>
      <rPr>
        <b/>
        <vertAlign val="superscript"/>
        <sz val="8"/>
        <color rgb="FF000000"/>
        <rFont val="Arial"/>
        <family val="2"/>
      </rPr>
      <t>(1)</t>
    </r>
    <r>
      <rPr>
        <b/>
        <sz val="8"/>
        <color rgb="FF000000"/>
        <rFont val="Arial"/>
        <family val="2"/>
      </rPr>
      <t xml:space="preserve">
(Euro)</t>
    </r>
  </si>
  <si>
    <r>
      <t>N. Domande presentate</t>
    </r>
    <r>
      <rPr>
        <b/>
        <vertAlign val="superscript"/>
        <sz val="8"/>
        <color rgb="FF000000"/>
        <rFont val="Arial"/>
        <family val="2"/>
      </rPr>
      <t>(2)</t>
    </r>
  </si>
  <si>
    <r>
      <t>Importo richiesto</t>
    </r>
    <r>
      <rPr>
        <b/>
        <vertAlign val="superscript"/>
        <sz val="8"/>
        <color rgb="FF000000"/>
        <rFont val="Arial"/>
        <family val="2"/>
      </rPr>
      <t xml:space="preserve">(3) </t>
    </r>
    <r>
      <rPr>
        <b/>
        <sz val="8"/>
        <color rgb="FF000000"/>
        <rFont val="Arial"/>
        <family val="2"/>
      </rPr>
      <t xml:space="preserve">
Report ASR2-20
(Euro)</t>
    </r>
  </si>
  <si>
    <r>
      <t>Importo ammesso</t>
    </r>
    <r>
      <rPr>
        <b/>
        <vertAlign val="superscript"/>
        <sz val="8"/>
        <color rgb="FF000000"/>
        <rFont val="Arial"/>
        <family val="2"/>
      </rPr>
      <t>(4)</t>
    </r>
    <r>
      <rPr>
        <b/>
        <sz val="8"/>
        <color rgb="FF000000"/>
        <rFont val="Arial"/>
        <family val="2"/>
      </rPr>
      <t xml:space="preserve">
Report ASR2-20</t>
    </r>
    <r>
      <rPr>
        <b/>
        <sz val="8"/>
        <color rgb="FF000000"/>
        <rFont val="Arial"/>
        <family val="2"/>
      </rPr>
      <t xml:space="preserve">
(Euro)</t>
    </r>
  </si>
  <si>
    <r>
      <t>Stima fabbisogno finanziario</t>
    </r>
    <r>
      <rPr>
        <b/>
        <vertAlign val="superscript"/>
        <sz val="8"/>
        <color rgb="FF000000"/>
        <rFont val="Arial"/>
        <family val="2"/>
      </rPr>
      <t>(5)</t>
    </r>
    <r>
      <rPr>
        <b/>
        <sz val="8"/>
        <color rgb="FF000000"/>
        <rFont val="Arial"/>
        <family val="2"/>
      </rPr>
      <t xml:space="preserve">
(Euro)</t>
    </r>
  </si>
  <si>
    <r>
      <t>Importo pagato</t>
    </r>
    <r>
      <rPr>
        <b/>
        <vertAlign val="superscript"/>
        <sz val="8"/>
        <color rgb="FF000000"/>
        <rFont val="Arial"/>
        <family val="2"/>
      </rPr>
      <t>(6)</t>
    </r>
    <r>
      <rPr>
        <b/>
        <sz val="8"/>
        <color rgb="FF000000"/>
        <rFont val="Arial"/>
        <family val="2"/>
      </rPr>
      <t xml:space="preserve">
Report ASR2-20
(Euro)</t>
    </r>
  </si>
  <si>
    <r>
      <t>N. Domande liquidate</t>
    </r>
    <r>
      <rPr>
        <b/>
        <vertAlign val="superscript"/>
        <sz val="8"/>
        <color rgb="FF000000"/>
        <rFont val="Arial"/>
        <family val="2"/>
      </rPr>
      <t>(7)</t>
    </r>
  </si>
  <si>
    <r>
      <t>N. Domande 
da liquidare</t>
    </r>
    <r>
      <rPr>
        <b/>
        <vertAlign val="superscript"/>
        <sz val="8"/>
        <color rgb="FF000000"/>
        <rFont val="Arial"/>
        <family val="2"/>
      </rPr>
      <t>(8)</t>
    </r>
  </si>
  <si>
    <t>Spesa publica</t>
  </si>
  <si>
    <t>Spesa FEASR+EURI</t>
  </si>
  <si>
    <t>di cui risorse EURI</t>
  </si>
  <si>
    <t>s</t>
  </si>
  <si>
    <t>t=(s/q)</t>
  </si>
  <si>
    <t>u</t>
  </si>
  <si>
    <t>V</t>
  </si>
  <si>
    <t>Totale M10.1</t>
  </si>
  <si>
    <t>(1) Importi comunicati dall'OP-ARGEA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</si>
  <si>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Fonte: Report SIAN  ASR2-20 del 06.10.2025, pagamenti erogati dall'OP AGEA e dall'OP ARGEA fino all'elenco di pagamento n. 94 (inclusi i mandati diretti AGEA e ARGEA aggionati al 03.03.2025 ), al netto dei recuperi inseriti nelle dichiarazioni di spesa alla data del 30.06.2025 (al Q2 2025)</t>
  </si>
  <si>
    <t>Sottomisura 10.1 - Pagamento per impegni agro-climatio-ambientali - Dati indicativi per Tipo di intervento e bando</t>
  </si>
  <si>
    <t>Descrizione Tipo di intervento</t>
  </si>
  <si>
    <t>Anno presentazione domanda di sostegno</t>
  </si>
  <si>
    <r>
      <t>N. Domande presentate</t>
    </r>
    <r>
      <rPr>
        <b/>
        <vertAlign val="superscript"/>
        <sz val="8"/>
        <color rgb="FF000000"/>
        <rFont val="Arial"/>
        <family val="2"/>
      </rPr>
      <t>(1)</t>
    </r>
  </si>
  <si>
    <r>
      <t>Importo richiesto</t>
    </r>
    <r>
      <rPr>
        <b/>
        <vertAlign val="superscript"/>
        <sz val="8"/>
        <color rgb="FF000000"/>
        <rFont val="Arial"/>
        <family val="2"/>
      </rPr>
      <t xml:space="preserve">(2) </t>
    </r>
    <r>
      <rPr>
        <b/>
        <sz val="8"/>
        <color rgb="FF000000"/>
        <rFont val="Arial"/>
        <family val="2"/>
      </rPr>
      <t xml:space="preserve">
Report ASR2-20
(Euro)</t>
    </r>
  </si>
  <si>
    <r>
      <t>Importo ammesso</t>
    </r>
    <r>
      <rPr>
        <b/>
        <vertAlign val="superscript"/>
        <sz val="8"/>
        <color rgb="FF000000"/>
        <rFont val="Arial"/>
        <family val="2"/>
      </rPr>
      <t>(3)</t>
    </r>
    <r>
      <rPr>
        <b/>
        <sz val="8"/>
        <color rgb="FF000000"/>
        <rFont val="Arial"/>
        <family val="2"/>
      </rPr>
      <t xml:space="preserve">
Report ASR2-20
(Euro)</t>
    </r>
  </si>
  <si>
    <r>
      <t>Stima fabbisogno finanziario</t>
    </r>
    <r>
      <rPr>
        <b/>
        <vertAlign val="superscript"/>
        <sz val="8"/>
        <color rgb="FF000000"/>
        <rFont val="Arial"/>
        <family val="2"/>
      </rPr>
      <t>(4)</t>
    </r>
    <r>
      <rPr>
        <b/>
        <sz val="8"/>
        <color rgb="FF000000"/>
        <rFont val="Arial"/>
        <family val="2"/>
      </rPr>
      <t xml:space="preserve">
(Euro)</t>
    </r>
  </si>
  <si>
    <r>
      <t>Importo pagato</t>
    </r>
    <r>
      <rPr>
        <b/>
        <vertAlign val="superscript"/>
        <sz val="8"/>
        <color rgb="FF000000"/>
        <rFont val="Arial"/>
        <family val="2"/>
      </rPr>
      <t>(5)</t>
    </r>
    <r>
      <rPr>
        <b/>
        <sz val="8"/>
        <color rgb="FF000000"/>
        <rFont val="Arial"/>
        <family val="2"/>
      </rPr>
      <t xml:space="preserve">
Report ASR2-20
(Euro)</t>
    </r>
  </si>
  <si>
    <r>
      <t>N. Domande liquidate</t>
    </r>
    <r>
      <rPr>
        <b/>
        <vertAlign val="superscript"/>
        <sz val="8"/>
        <color rgb="FF000000"/>
        <rFont val="Arial"/>
        <family val="2"/>
      </rPr>
      <t>(6)</t>
    </r>
  </si>
  <si>
    <r>
      <t>N. Domande 
da liquidare</t>
    </r>
    <r>
      <rPr>
        <b/>
        <vertAlign val="superscript"/>
        <sz val="8"/>
        <color rgb="FF000000"/>
        <rFont val="Arial"/>
        <family val="2"/>
      </rPr>
      <t>(7)</t>
    </r>
  </si>
  <si>
    <t>Totali</t>
  </si>
  <si>
    <t>di cui risorse TOP UP</t>
  </si>
  <si>
    <t>di cui in trascinamento</t>
  </si>
  <si>
    <t>q=(p/m)</t>
  </si>
  <si>
    <t>DS 2016</t>
  </si>
  <si>
    <t>Tot. DS 2016</t>
  </si>
  <si>
    <t>DS 2021</t>
  </si>
  <si>
    <t>Tot. DS 2021</t>
  </si>
  <si>
    <t>Totale 10.1.1</t>
  </si>
  <si>
    <t>Totale 10.1.2</t>
  </si>
  <si>
    <t>10.1.3 - Tutela dell'habitat della gallina prataiola</t>
  </si>
  <si>
    <t>Totale 10.1.3</t>
  </si>
  <si>
    <t xml:space="preserve">10.1.4 - Conservazione on farm delle risorse genetiche vegetali di interesse agrario a rischio di erosione genetica </t>
  </si>
  <si>
    <t>DS 2022</t>
  </si>
  <si>
    <t>Tot. 10.1.4</t>
  </si>
  <si>
    <t>10.1.5 - Conservazione di razze locali minacciate di abbandono - Bando risorse FEASR</t>
  </si>
  <si>
    <t>DS 2020</t>
  </si>
  <si>
    <t>Totale 10.1.5 - Bando FEASR</t>
  </si>
  <si>
    <t>10.1.5 - Conservazione di razze locali minacciate di abbandono - Bando risorse TOP UP</t>
  </si>
  <si>
    <r>
      <t>2023</t>
    </r>
    <r>
      <rPr>
        <vertAlign val="superscript"/>
        <sz val="8"/>
        <color rgb="FF000000"/>
        <rFont val="Arial"/>
        <family val="2"/>
      </rPr>
      <t>(8)</t>
    </r>
  </si>
  <si>
    <t>Totale 10.1.5 - TOP UP</t>
  </si>
  <si>
    <t>Totale M10</t>
  </si>
  <si>
    <t>(1) Numero di domande rilasciate nel portale SIAN
(2) Importo richiesto come da report ASR2-20
(3) Importo ammesso come da report ASR2-20
(4) L'importo del fabbisogno finanziario è stato stimato per ogni campagna considerando tutte le domande sotto impegno a valere sulla programmazione 2014-2022 
(5) Importo pagato come da report ASR2-20 (L’importo è al lordo dei recuperi e non ricomprende le domande pagate presenti nei decreti AGEA e negli elenchi di pagamento ARGEA non presenti nel Report ASR2-20)
(6) Domande con almeno un pagamento erogato da AGEA o ARGEA (anticipo e/o saldo) e domande di pagamento con Stato avanzamento domanda "LIQUIDATO CON IMPORTO A ZERO"
(7) Domande di pagamento da liquidare (sono escluse le domande di pagamento Stato domanda "RINUNCIATO" e "BOCCIATO" e le domande con Stato di avanzamento domanda "NON RICEVIBILE", "NON AMMISSIBILE AL PAGAMENTO", "NON AMMISSIBILE AL SOSTEGNO")
(8) Per il tipo di intervento 10.1.5 fondi regionali nell'anno 2023 n. 1 domanda , è associata al bando coo-finanziato e non al bando con fondi regionali. Per avere la situazione reale nel presente stato di attuazione tale domanda è stata considerata nel bando fondi regionali</t>
  </si>
  <si>
    <t xml:space="preserve">M11 - Agricoltura biologica </t>
  </si>
  <si>
    <t>Piano finanziario</t>
  </si>
  <si>
    <r>
      <t>Stima fabbisogno finanziario</t>
    </r>
    <r>
      <rPr>
        <b/>
        <vertAlign val="superscript"/>
        <sz val="8"/>
        <color rgb="FF000000"/>
        <rFont val="Arial"/>
        <family val="2"/>
      </rPr>
      <t xml:space="preserve"> (1)</t>
    </r>
    <r>
      <rPr>
        <b/>
        <sz val="8"/>
        <color rgb="FF000000"/>
        <rFont val="Arial"/>
        <family val="2"/>
      </rPr>
      <t xml:space="preserve">
(Euro)</t>
    </r>
  </si>
  <si>
    <r>
      <t>Stima fabbisogno finanziario</t>
    </r>
    <r>
      <rPr>
        <b/>
        <vertAlign val="subscript"/>
        <sz val="8"/>
        <color rgb="FF000000"/>
        <rFont val="Arial"/>
        <family val="2"/>
      </rPr>
      <t>(1)</t>
    </r>
    <r>
      <rPr>
        <b/>
        <sz val="8"/>
        <color rgb="FF000000"/>
        <rFont val="Arial"/>
        <family val="2"/>
      </rPr>
      <t xml:space="preserve">
(Euro)</t>
    </r>
  </si>
  <si>
    <r>
      <t>Importo ammesso</t>
    </r>
    <r>
      <rPr>
        <b/>
        <vertAlign val="superscript"/>
        <sz val="8"/>
        <color rgb="FF000000"/>
        <rFont val="Arial"/>
        <family val="2"/>
      </rPr>
      <t>(4)</t>
    </r>
    <r>
      <rPr>
        <b/>
        <sz val="8"/>
        <color rgb="FF000000"/>
        <rFont val="Arial"/>
        <family val="2"/>
      </rPr>
      <t xml:space="preserve">
Report ASR2-20
(Euro)</t>
    </r>
  </si>
  <si>
    <t>s=(r/q)</t>
  </si>
  <si>
    <t>t</t>
  </si>
  <si>
    <t>Totale M11</t>
  </si>
  <si>
    <t>(1) Importi calcolati considerando gli importi comunicati dall'OP-ARGEA e l'andamento dei pagamenti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</si>
  <si>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M11 - Agricoltura biologica - Dati indicativi per bando</t>
  </si>
  <si>
    <t>o=(n/m)</t>
  </si>
  <si>
    <t xml:space="preserve">DS 2016
</t>
  </si>
  <si>
    <t>DS 2017</t>
  </si>
  <si>
    <t>Tot. DS 2017</t>
  </si>
  <si>
    <t>DS 2018</t>
  </si>
  <si>
    <t>Tot. DS 2018</t>
  </si>
  <si>
    <t>DS 2019</t>
  </si>
  <si>
    <t>Tot. DS 2019</t>
  </si>
  <si>
    <t>DS_2020</t>
  </si>
  <si>
    <t>Tot. DS 2020</t>
  </si>
  <si>
    <t>DS_2021
(Bando triennale)</t>
  </si>
  <si>
    <t>DS_2022
(Bando triennale)</t>
  </si>
  <si>
    <t>Tot. DS 2022</t>
  </si>
  <si>
    <t>(1) Numero di domande rilasciate nel portale SIAN
(2) Importo richiesto come da report ASR2-20
(3) Importo ammesso come da report ASR2-20
(4) L'importo del fabbisogno finanziario è stato stimato per ogni campagna considerando tutte le domande sotto impegno a valere sulla programmazione 2014-2022 
(5) Importo pagato come da report ASR2-20 (L’importo è al lordo dei recuperi e non ricomprende le domande pagate presenti nei decreti AGEA e negli elenchi di pagamento ARGEA non presenti nel Report ASR2-20)
(6) Domande con almeno un pagamento erogato da AGEA o ARGEA (anticipo e/o saldo) e domande di pagamento con Stato avanzamento domanda "LIQUIDATO CON IMPORTO A ZERO"
(7) Domande di pagamento da liquidare (sono escluse le domande di pagamento Stato domanda "RINUNCIATO" e "BOCCIATO" e le domande con Stato di avanzamento domanda "NON RICEVIBILE", "NON AMMISSIBILE AL PAGAMENTO", "NON AMMISSIBILE AL SOSTEGNO")</t>
  </si>
  <si>
    <t xml:space="preserve">M13 - Indennità a favore  delle zone soggette a vincoli naturali o ad altri vincoli specifici </t>
  </si>
  <si>
    <t>13.1
13.2</t>
  </si>
  <si>
    <r>
      <t>2025</t>
    </r>
    <r>
      <rPr>
        <i/>
        <vertAlign val="superscript"/>
        <sz val="8"/>
        <color rgb="FF000000"/>
        <rFont val="Arial"/>
        <family val="2"/>
      </rPr>
      <t>(9)</t>
    </r>
  </si>
  <si>
    <t>Totale M13</t>
  </si>
  <si>
    <t>(1) Importi calcolati considerando gli importi comunicati dall'OP-ARGEA e l'andamento dei pagamenti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</si>
  <si>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 xml:space="preserve">M14 - Benessere degli animali </t>
  </si>
  <si>
    <t>Importo FEASR residuo da spendere</t>
  </si>
  <si>
    <t>Totale M14</t>
  </si>
  <si>
    <t>M15 - Servizi silvo-ambientali e climatici a salvaguardia delle foreste</t>
  </si>
  <si>
    <t>Stima fabbisogno finanziario(1)
(Euro)</t>
  </si>
  <si>
    <t>N. Domande presentate(2)</t>
  </si>
  <si>
    <t>Importo richiesto(3) 
Report ASR2-20
(Euro)</t>
  </si>
  <si>
    <t>Importo ammesso(4)
Report ASR2-20
(Euro)</t>
  </si>
  <si>
    <t>Stima fabbisogno finanziario(5)
(Euro)</t>
  </si>
  <si>
    <t>Importo pagato(6)
Report ASR2-20
(Euro)</t>
  </si>
  <si>
    <t>N. Domande liquidate(7)</t>
  </si>
  <si>
    <t>N. Domande 
da liquidare(8)</t>
  </si>
  <si>
    <t>Totale M15</t>
  </si>
  <si>
    <t xml:space="preserve">Spesa pubblica ricalcolata a seguito della modifica dei tassi </t>
  </si>
  <si>
    <t>Spesa pubblica con tasso di cofinanziamento al 48%</t>
  </si>
  <si>
    <t>Finanziamenti nazionali integrativi
 (liberati a seguito del calcolo dei nuovi tassi FEASR)</t>
  </si>
  <si>
    <t>a=b+c</t>
  </si>
  <si>
    <t>t=o-n</t>
  </si>
  <si>
    <t>s=r/f</t>
  </si>
  <si>
    <t>f= b+e</t>
  </si>
  <si>
    <t>m=l/(b+e+g)</t>
  </si>
  <si>
    <t>q=o/(b+e+g)</t>
  </si>
  <si>
    <r>
      <t>Pagamenti  totali al 20/08/2025</t>
    </r>
    <r>
      <rPr>
        <b/>
        <vertAlign val="superscript"/>
        <sz val="8"/>
        <color rgb="FF000000"/>
        <rFont val="Arial"/>
        <family val="2"/>
      </rPr>
      <t xml:space="preserve"> (3)</t>
    </r>
  </si>
  <si>
    <t>Spesa  realizzata al 30/09/2025</t>
  </si>
  <si>
    <t>Importo</t>
  </si>
  <si>
    <t xml:space="preserve">Spesa pubblica ricalcolata a seguito della modifica dei tassi 
</t>
  </si>
  <si>
    <t>Importi da spendere al 31/12/2025</t>
  </si>
  <si>
    <t>v=f-r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</si>
</sst>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0.00\ &quot;€&quot;;\-#,##0.00\ &quot;€&quot;"/>
    <numFmt numFmtId="8" formatCode="#,##0.00\ &quot;€&quot;;[Red]\-#,##0.00\ &quot;€&quot;"/>
    <numFmt numFmtId="43" formatCode="_-* #,##0.00_-;\-* #,##0.00_-;_-* &quot;-&quot;??_-;_-@_-"/>
    <numFmt numFmtId="164" formatCode="_-* #,##0.00\ _€_-;\-* #,##0.00\ _€_-;_-* &quot;-&quot;??\ _€_-;_-@_-"/>
    <numFmt numFmtId="165" formatCode="&quot; &quot;#,##0.00&quot;   &quot;;&quot;-&quot;#,##0.00&quot;   &quot;;&quot; -&quot;00&quot;   &quot;;&quot; &quot;@&quot; &quot;"/>
    <numFmt numFmtId="166" formatCode="&quot; &quot;#,##0&quot; &quot;;&quot;-&quot;#,##0&quot; &quot;;&quot; -&quot;00&quot; &quot;;&quot; &quot;@&quot; &quot;"/>
    <numFmt numFmtId="167" formatCode="_(* #,##0_);_(* \(#,##0\);_(* &quot;-&quot;??_);_(@_)"/>
    <numFmt numFmtId="168" formatCode="_-* #,##0_-;\-* #,##0_-;_-* &quot;-&quot;??_-;_-@_-"/>
    <numFmt numFmtId="169" formatCode="_-* #,##0\ _€_-;\-* #,##0\ _€_-;_-* &quot;-&quot;??\ _€_-;_-@_-"/>
    <numFmt numFmtId="170" formatCode="_(* #,##0.00_);_(* \(#,##0.00\);_(* &quot;-&quot;??_);_(@_)"/>
    <numFmt numFmtId="171" formatCode="#,##0_ ;\-#,##0\ "/>
    <numFmt numFmtId="172" formatCode="0.0%"/>
    <numFmt numFmtId="173" formatCode="_-* #,##0.000\ _€_-;\-* #,##0.000\ _€_-;_-* &quot;-&quot;??\ _€_-;_-@_-"/>
    <numFmt numFmtId="174" formatCode="#,##0.0\ &quot;€&quot;;\-#,##0.0\ &quot;€&quot;"/>
    <numFmt numFmtId="175" formatCode="_-&quot;€&quot;\ * #,##0.00_-;\-&quot;€&quot;\ * #,##0.00_-;_-&quot;€&quot;\ * &quot;-&quot;??_-;_-@_-"/>
    <numFmt numFmtId="176" formatCode="[$€-2]\ #,##0.00;[Red]\-[$€-2]\ #,##0.00"/>
  </numFmts>
  <fonts count="74" x14ac:knownFonts="1">
    <font>
      <sz val="11"/>
      <color theme="1"/>
      <name val="Calibri"/>
      <family val="2"/>
      <scheme val="minor"/>
    </font>
    <font>
      <sz val="11"/>
      <color theme="1"/>
      <name val="Calibri"/>
      <family val="2"/>
      <scheme val="minor"/>
    </font>
    <font>
      <b/>
      <sz val="8"/>
      <color rgb="FF000000"/>
      <name val="Arial"/>
      <family val="2"/>
    </font>
    <font>
      <sz val="10"/>
      <color indexed="8"/>
      <name val="Arial"/>
      <family val="2"/>
    </font>
    <font>
      <sz val="8"/>
      <color indexed="8"/>
      <name val="Arial"/>
      <family val="2"/>
    </font>
    <font>
      <sz val="8"/>
      <color rgb="FF000000"/>
      <name val="Arial"/>
      <family val="2"/>
    </font>
    <font>
      <sz val="8"/>
      <color theme="1"/>
      <name val="Arial"/>
      <family val="2"/>
    </font>
    <font>
      <b/>
      <sz val="12"/>
      <color theme="1"/>
      <name val="Arial"/>
      <family val="2"/>
    </font>
    <font>
      <b/>
      <sz val="9"/>
      <color rgb="FF000000"/>
      <name val="Arial"/>
      <family val="2"/>
    </font>
    <font>
      <sz val="11"/>
      <color rgb="FF000000"/>
      <name val="Calibri"/>
      <family val="2"/>
    </font>
    <font>
      <sz val="8"/>
      <name val="Arial"/>
      <family val="2"/>
    </font>
    <font>
      <sz val="8"/>
      <color theme="1"/>
      <name val="Calibri"/>
      <family val="2"/>
      <scheme val="minor"/>
    </font>
    <font>
      <b/>
      <sz val="9"/>
      <color theme="1"/>
      <name val="Arial"/>
      <family val="2"/>
    </font>
    <font>
      <b/>
      <vertAlign val="superscript"/>
      <sz val="8"/>
      <color rgb="FF000000"/>
      <name val="Arial"/>
      <family val="2"/>
    </font>
    <font>
      <b/>
      <i/>
      <sz val="8"/>
      <color rgb="FF000000"/>
      <name val="Arial"/>
      <family val="2"/>
    </font>
    <font>
      <b/>
      <sz val="8"/>
      <color theme="1"/>
      <name val="Arial"/>
      <family val="2"/>
    </font>
    <font>
      <b/>
      <sz val="8"/>
      <name val="Arial"/>
      <family val="2"/>
    </font>
    <font>
      <b/>
      <sz val="8"/>
      <color indexed="8"/>
      <name val="Arial"/>
      <family val="2"/>
    </font>
    <font>
      <sz val="11"/>
      <color theme="1"/>
      <name val="Arial"/>
      <family val="2"/>
    </font>
    <font>
      <b/>
      <sz val="11"/>
      <color theme="1"/>
      <name val="Calibri"/>
      <family val="2"/>
      <scheme val="minor"/>
    </font>
    <font>
      <b/>
      <i/>
      <sz val="8"/>
      <name val="Arial"/>
      <family val="2"/>
    </font>
    <font>
      <b/>
      <i/>
      <sz val="10"/>
      <name val="Arial"/>
      <family val="2"/>
    </font>
    <font>
      <sz val="9"/>
      <color indexed="8"/>
      <name val="Arial"/>
      <family val="2"/>
    </font>
    <font>
      <b/>
      <sz val="10"/>
      <color theme="1"/>
      <name val="Calibri"/>
      <family val="2"/>
      <scheme val="minor"/>
    </font>
    <font>
      <sz val="20"/>
      <color theme="1"/>
      <name val="Arial"/>
      <family val="2"/>
    </font>
    <font>
      <sz val="10"/>
      <color theme="1"/>
      <name val="Arial"/>
      <family val="2"/>
    </font>
    <font>
      <b/>
      <sz val="10"/>
      <name val="Arial"/>
      <family val="2"/>
    </font>
    <font>
      <sz val="10"/>
      <name val="Arial"/>
      <family val="2"/>
    </font>
    <font>
      <sz val="7.5"/>
      <color theme="1"/>
      <name val="Arial"/>
      <family val="2"/>
    </font>
    <font>
      <b/>
      <sz val="11"/>
      <color theme="1"/>
      <name val="Arial"/>
      <family val="2"/>
    </font>
    <font>
      <sz val="7"/>
      <color theme="1"/>
      <name val="Arial"/>
      <family val="2"/>
    </font>
    <font>
      <b/>
      <vertAlign val="superscript"/>
      <sz val="11"/>
      <color theme="1"/>
      <name val="Calibri"/>
      <family val="2"/>
      <scheme val="minor"/>
    </font>
    <font>
      <sz val="9"/>
      <color theme="1"/>
      <name val="Arial"/>
      <family val="2"/>
    </font>
    <font>
      <sz val="8"/>
      <name val="Calibri"/>
      <family val="2"/>
      <scheme val="minor"/>
    </font>
    <font>
      <sz val="9"/>
      <name val="Arial"/>
      <family val="2"/>
    </font>
    <font>
      <b/>
      <i/>
      <sz val="8"/>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b/>
      <sz val="10"/>
      <color theme="1"/>
      <name val="Arial"/>
      <family val="2"/>
    </font>
    <font>
      <i/>
      <sz val="8"/>
      <color theme="1"/>
      <name val="Arial"/>
      <family val="2"/>
    </font>
    <font>
      <b/>
      <vertAlign val="superscript"/>
      <sz val="8"/>
      <color indexed="8"/>
      <name val="Arial"/>
      <family val="2"/>
    </font>
    <font>
      <sz val="7.5"/>
      <name val="Arial"/>
      <family val="2"/>
    </font>
    <font>
      <b/>
      <vertAlign val="superscript"/>
      <sz val="6"/>
      <color rgb="FF000000"/>
      <name val="Arial"/>
      <family val="2"/>
    </font>
    <font>
      <sz val="10"/>
      <name val="Arial"/>
      <family val="2"/>
    </font>
    <font>
      <b/>
      <i/>
      <sz val="10"/>
      <name val="Arial"/>
      <family val="2"/>
    </font>
    <font>
      <sz val="10"/>
      <name val="Arial"/>
      <family val="2"/>
    </font>
    <font>
      <b/>
      <i/>
      <sz val="10"/>
      <name val="Arial"/>
      <family val="2"/>
    </font>
    <font>
      <b/>
      <sz val="12"/>
      <name val="Arial"/>
      <family val="2"/>
    </font>
    <font>
      <sz val="14"/>
      <color rgb="FF000000"/>
      <name val="Arial"/>
      <family val="2"/>
    </font>
    <font>
      <sz val="9"/>
      <color theme="1"/>
      <name val="Calibri"/>
      <family val="2"/>
      <scheme val="minor"/>
    </font>
    <font>
      <b/>
      <sz val="7"/>
      <color rgb="FF000000"/>
      <name val="Arial"/>
      <family val="2"/>
    </font>
    <font>
      <b/>
      <sz val="11"/>
      <color rgb="FFFF0000"/>
      <name val="Calibri"/>
      <family val="2"/>
      <scheme val="minor"/>
    </font>
    <font>
      <sz val="14"/>
      <name val="Arial"/>
      <family val="2"/>
    </font>
    <font>
      <sz val="7"/>
      <color rgb="FF000000"/>
      <name val="Arial"/>
      <family val="2"/>
    </font>
    <font>
      <b/>
      <i/>
      <sz val="7"/>
      <color rgb="FF000000"/>
      <name val="Arial"/>
      <family val="2"/>
    </font>
    <font>
      <i/>
      <sz val="8"/>
      <color theme="1"/>
      <name val="Calibri"/>
      <family val="2"/>
      <scheme val="minor"/>
    </font>
    <font>
      <i/>
      <sz val="8"/>
      <color rgb="FF000000"/>
      <name val="Arial"/>
      <family val="2"/>
    </font>
    <font>
      <b/>
      <i/>
      <sz val="7.5"/>
      <color rgb="FF000000"/>
      <name val="Arial"/>
      <family val="2"/>
    </font>
    <font>
      <vertAlign val="superscript"/>
      <sz val="8"/>
      <color rgb="FF000000"/>
      <name val="Arial"/>
      <family val="2"/>
    </font>
    <font>
      <b/>
      <vertAlign val="subscript"/>
      <sz val="8"/>
      <color rgb="FF000000"/>
      <name val="Arial"/>
      <family val="2"/>
    </font>
    <font>
      <i/>
      <vertAlign val="superscript"/>
      <sz val="8"/>
      <color rgb="FF000000"/>
      <name val="Arial"/>
      <family val="2"/>
    </font>
  </fonts>
  <fills count="4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FF"/>
        <bgColor rgb="FFFFFFFF"/>
      </patternFill>
    </fill>
    <fill>
      <patternFill patternType="solid">
        <fgColor rgb="FFFFFFFF"/>
        <bgColor rgb="FF000000"/>
      </patternFill>
    </fill>
    <fill>
      <patternFill patternType="solid">
        <fgColor theme="0"/>
        <bgColor rgb="FF000000"/>
      </patternFill>
    </fill>
    <fill>
      <patternFill patternType="solid">
        <fgColor theme="0"/>
        <bgColor rgb="FFFFFFFF"/>
      </patternFill>
    </fill>
    <fill>
      <patternFill patternType="solid">
        <fgColor theme="0"/>
        <bgColor indexed="9"/>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rgb="FFEBF1E9"/>
        <bgColor indexed="64"/>
      </patternFill>
    </fill>
    <fill>
      <patternFill patternType="solid">
        <fgColor theme="9" tint="0.79998168889431442"/>
        <bgColor indexed="64"/>
      </patternFill>
    </fill>
    <fill>
      <patternFill patternType="gray0625"/>
    </fill>
    <fill>
      <patternFill patternType="solid">
        <fgColor theme="9" tint="-0.249977111117893"/>
        <bgColor indexed="64"/>
      </patternFill>
    </fill>
    <fill>
      <patternFill patternType="solid">
        <fgColor indexed="65"/>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auto="1"/>
      </top>
      <bottom/>
      <diagonal/>
    </border>
    <border>
      <left style="thin">
        <color rgb="FF000000"/>
      </left>
      <right style="thin">
        <color rgb="FF000000"/>
      </right>
      <top/>
      <bottom style="thin">
        <color rgb="FF000000"/>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000000"/>
      </left>
      <right/>
      <top/>
      <bottom style="thin">
        <color rgb="FF000000"/>
      </bottom>
      <diagonal/>
    </border>
    <border>
      <left style="thin">
        <color auto="1"/>
      </left>
      <right/>
      <top/>
      <bottom/>
      <diagonal/>
    </border>
    <border>
      <left style="thin">
        <color auto="1"/>
      </left>
      <right style="thin">
        <color auto="1"/>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diagonal/>
    </border>
    <border>
      <left/>
      <right/>
      <top style="thin">
        <color indexed="64"/>
      </top>
      <bottom style="thin">
        <color indexed="64"/>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right/>
      <top style="thin">
        <color rgb="FF000000"/>
      </top>
      <bottom/>
      <diagonal/>
    </border>
    <border>
      <left style="thin">
        <color auto="1"/>
      </left>
      <right/>
      <top style="thin">
        <color indexed="64"/>
      </top>
      <bottom/>
      <diagonal/>
    </border>
    <border>
      <left/>
      <right style="thin">
        <color auto="1"/>
      </right>
      <top style="thin">
        <color indexed="64"/>
      </top>
      <bottom/>
      <diagonal/>
    </border>
    <border>
      <left style="thin">
        <color indexed="64"/>
      </left>
      <right style="thin">
        <color rgb="FF000000"/>
      </right>
      <top style="thin">
        <color rgb="FF00000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indexed="64"/>
      </bottom>
      <diagonal/>
    </border>
    <border>
      <left style="thin">
        <color indexed="9"/>
      </left>
      <right style="thin">
        <color indexed="9"/>
      </right>
      <top style="thin">
        <color indexed="9"/>
      </top>
      <bottom style="thin">
        <color indexed="9"/>
      </bottom>
      <diagonal/>
    </border>
    <border>
      <left style="thin">
        <color rgb="FF000000"/>
      </left>
      <right/>
      <top/>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rgb="FF000000"/>
      </left>
      <right style="thin">
        <color indexed="64"/>
      </right>
      <top style="thin">
        <color rgb="FF000000"/>
      </top>
      <bottom style="thin">
        <color indexed="64"/>
      </bottom>
      <diagonal/>
    </border>
    <border>
      <left/>
      <right style="thin">
        <color indexed="64"/>
      </right>
      <top style="thin">
        <color rgb="FF000000"/>
      </top>
      <bottom/>
      <diagonal/>
    </border>
    <border>
      <left/>
      <right/>
      <top style="thin">
        <color indexed="64"/>
      </top>
      <bottom/>
      <diagonal/>
    </border>
  </borders>
  <cellStyleXfs count="161">
    <xf numFmtId="0" fontId="0" fillId="0" borderId="0"/>
    <xf numFmtId="164" fontId="1" fillId="0" borderId="0" applyFont="0" applyFill="0" applyBorder="0" applyAlignment="0" applyProtection="0"/>
    <xf numFmtId="164" fontId="1" fillId="0" borderId="0" applyFont="0" applyFill="0" applyBorder="0" applyAlignment="0" applyProtection="0"/>
    <xf numFmtId="0" fontId="3" fillId="0" borderId="0"/>
    <xf numFmtId="165" fontId="9"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0" fontId="27"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164" fontId="1" fillId="0" borderId="0" applyFont="0" applyFill="0" applyBorder="0" applyAlignment="0" applyProtection="0"/>
    <xf numFmtId="0" fontId="36" fillId="0" borderId="38" applyNumberFormat="0" applyFill="0" applyAlignment="0" applyProtection="0"/>
    <xf numFmtId="0" fontId="37" fillId="0" borderId="39" applyNumberFormat="0" applyFill="0" applyAlignment="0" applyProtection="0"/>
    <xf numFmtId="0" fontId="38" fillId="0" borderId="40" applyNumberFormat="0" applyFill="0" applyAlignment="0" applyProtection="0"/>
    <xf numFmtId="0" fontId="38" fillId="0" borderId="0" applyNumberFormat="0" applyFill="0" applyBorder="0" applyAlignment="0" applyProtection="0"/>
    <xf numFmtId="0" fontId="39" fillId="9" borderId="0" applyNumberFormat="0" applyBorder="0" applyAlignment="0" applyProtection="0"/>
    <xf numFmtId="0" fontId="40" fillId="10" borderId="0" applyNumberFormat="0" applyBorder="0" applyAlignment="0" applyProtection="0"/>
    <xf numFmtId="0" fontId="41" fillId="12" borderId="41" applyNumberFormat="0" applyAlignment="0" applyProtection="0"/>
    <xf numFmtId="0" fontId="42" fillId="13" borderId="42" applyNumberFormat="0" applyAlignment="0" applyProtection="0"/>
    <xf numFmtId="0" fontId="43" fillId="13" borderId="41" applyNumberFormat="0" applyAlignment="0" applyProtection="0"/>
    <xf numFmtId="0" fontId="44" fillId="0" borderId="43" applyNumberFormat="0" applyFill="0" applyAlignment="0" applyProtection="0"/>
    <xf numFmtId="0" fontId="45" fillId="14" borderId="44" applyNumberFormat="0" applyAlignment="0" applyProtection="0"/>
    <xf numFmtId="0" fontId="46" fillId="0" borderId="0" applyNumberFormat="0" applyFill="0" applyBorder="0" applyAlignment="0" applyProtection="0"/>
    <xf numFmtId="0" fontId="1" fillId="15" borderId="45" applyNumberFormat="0" applyFont="0" applyAlignment="0" applyProtection="0"/>
    <xf numFmtId="0" fontId="47" fillId="0" borderId="0" applyNumberFormat="0" applyFill="0" applyBorder="0" applyAlignment="0" applyProtection="0"/>
    <xf numFmtId="0" fontId="19" fillId="0" borderId="46" applyNumberFormat="0" applyFill="0" applyAlignment="0" applyProtection="0"/>
    <xf numFmtId="0" fontId="4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8"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49" fillId="0" borderId="0" applyNumberFormat="0" applyFill="0" applyBorder="0" applyAlignment="0" applyProtection="0"/>
    <xf numFmtId="0" fontId="50" fillId="11" borderId="0" applyNumberFormat="0" applyBorder="0" applyAlignment="0" applyProtection="0"/>
    <xf numFmtId="0" fontId="48" fillId="19" borderId="0" applyNumberFormat="0" applyBorder="0" applyAlignment="0" applyProtection="0"/>
    <xf numFmtId="0" fontId="48" fillId="23"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5" borderId="0" applyNumberFormat="0" applyBorder="0" applyAlignment="0" applyProtection="0"/>
    <xf numFmtId="0" fontId="48" fillId="39" borderId="0" applyNumberFormat="0" applyBorder="0" applyAlignment="0" applyProtection="0"/>
    <xf numFmtId="17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0" borderId="0"/>
    <xf numFmtId="43" fontId="57" fillId="0" borderId="0" applyFont="0" applyFill="0" applyBorder="0" applyAlignment="0" applyProtection="0"/>
    <xf numFmtId="43" fontId="21" fillId="0" borderId="0" applyFont="0" applyFill="0" applyBorder="0" applyAlignment="0" applyProtection="0"/>
    <xf numFmtId="165" fontId="9" fillId="0" borderId="0" applyFont="0" applyFill="0" applyBorder="0" applyAlignment="0" applyProtection="0"/>
    <xf numFmtId="0" fontId="58" fillId="0" borderId="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7" fillId="0" borderId="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7" fillId="0" borderId="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cellStyleXfs>
  <cellXfs count="1139">
    <xf numFmtId="0" fontId="0" fillId="0" borderId="0" xfId="0"/>
    <xf numFmtId="0" fontId="10" fillId="6" borderId="1" xfId="0" applyFont="1" applyFill="1" applyBorder="1" applyAlignment="1">
      <alignment horizontal="center" vertical="center" wrapText="1" readingOrder="1"/>
    </xf>
    <xf numFmtId="14" fontId="10" fillId="3" borderId="1" xfId="0" applyNumberFormat="1" applyFont="1" applyFill="1" applyBorder="1" applyAlignment="1">
      <alignment horizontal="center" vertical="center" wrapText="1" readingOrder="1"/>
    </xf>
    <xf numFmtId="0" fontId="10" fillId="3" borderId="1" xfId="0" applyFont="1" applyFill="1" applyBorder="1" applyAlignment="1">
      <alignment horizontal="center" vertical="center" wrapText="1" readingOrder="1"/>
    </xf>
    <xf numFmtId="0" fontId="0" fillId="0" borderId="0" xfId="0" applyAlignment="1">
      <alignment horizontal="center" vertical="center"/>
    </xf>
    <xf numFmtId="0" fontId="11" fillId="0" borderId="0" xfId="0" applyFont="1"/>
    <xf numFmtId="0" fontId="6" fillId="0" borderId="0" xfId="0" applyFont="1" applyAlignment="1">
      <alignment horizontal="right"/>
    </xf>
    <xf numFmtId="164" fontId="0" fillId="0" borderId="0" xfId="1" applyFont="1" applyAlignment="1">
      <alignment horizontal="right"/>
    </xf>
    <xf numFmtId="0" fontId="18" fillId="0" borderId="0" xfId="0" applyFont="1"/>
    <xf numFmtId="0" fontId="0" fillId="0" borderId="0" xfId="0" applyAlignment="1">
      <alignment horizontal="right"/>
    </xf>
    <xf numFmtId="0" fontId="18" fillId="0" borderId="0" xfId="0" applyFont="1" applyAlignment="1">
      <alignment horizontal="right"/>
    </xf>
    <xf numFmtId="3" fontId="10" fillId="3" borderId="1" xfId="0" applyNumberFormat="1" applyFont="1" applyFill="1" applyBorder="1" applyAlignment="1">
      <alignment vertical="center"/>
    </xf>
    <xf numFmtId="0" fontId="6" fillId="0" borderId="0" xfId="0" applyFont="1"/>
    <xf numFmtId="0" fontId="0" fillId="0" borderId="0" xfId="0" applyAlignment="1">
      <alignment horizontal="center"/>
    </xf>
    <xf numFmtId="0" fontId="19" fillId="0" borderId="0" xfId="0" applyFont="1"/>
    <xf numFmtId="167" fontId="14"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readingOrder="1"/>
    </xf>
    <xf numFmtId="14" fontId="10" fillId="0" borderId="1" xfId="0" applyNumberFormat="1"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6" fillId="2" borderId="1" xfId="0" applyFont="1" applyFill="1" applyBorder="1" applyAlignment="1">
      <alignment horizontal="left" vertical="center" wrapText="1" readingOrder="1"/>
    </xf>
    <xf numFmtId="3" fontId="16" fillId="2" borderId="1" xfId="2" applyNumberFormat="1" applyFont="1" applyFill="1" applyBorder="1" applyAlignment="1">
      <alignment horizontal="center" vertical="center" wrapText="1" readingOrder="1"/>
    </xf>
    <xf numFmtId="0" fontId="10" fillId="0" borderId="4" xfId="0" applyFont="1" applyBorder="1" applyAlignment="1">
      <alignment horizontal="center" vertical="center" wrapText="1" readingOrder="1"/>
    </xf>
    <xf numFmtId="3" fontId="10" fillId="5" borderId="1" xfId="0" applyNumberFormat="1" applyFont="1" applyFill="1" applyBorder="1" applyAlignment="1">
      <alignment horizontal="center" vertical="center" wrapText="1" readingOrder="1"/>
    </xf>
    <xf numFmtId="0" fontId="0" fillId="3" borderId="0" xfId="0" applyFill="1"/>
    <xf numFmtId="171" fontId="10" fillId="3" borderId="1" xfId="7" applyNumberFormat="1" applyFont="1" applyFill="1" applyBorder="1" applyAlignment="1">
      <alignment horizontal="right" vertical="center" wrapText="1" readingOrder="1"/>
    </xf>
    <xf numFmtId="3" fontId="10" fillId="6" borderId="1" xfId="0" applyNumberFormat="1" applyFont="1" applyFill="1" applyBorder="1" applyAlignment="1">
      <alignment horizontal="center" vertical="center" wrapText="1" readingOrder="1"/>
    </xf>
    <xf numFmtId="14" fontId="10" fillId="0" borderId="4" xfId="0" applyNumberFormat="1" applyFont="1" applyBorder="1" applyAlignment="1">
      <alignment horizontal="center" vertical="center" wrapText="1" readingOrder="1"/>
    </xf>
    <xf numFmtId="167" fontId="5" fillId="3" borderId="1" xfId="0" applyNumberFormat="1" applyFont="1" applyFill="1" applyBorder="1" applyAlignment="1">
      <alignment horizontal="center" vertical="center" wrapText="1"/>
    </xf>
    <xf numFmtId="171" fontId="5" fillId="3" borderId="1" xfId="7" applyNumberFormat="1" applyFont="1" applyFill="1" applyBorder="1" applyAlignment="1">
      <alignment horizontal="right" vertical="center" wrapText="1" readingOrder="1"/>
    </xf>
    <xf numFmtId="0" fontId="10" fillId="3" borderId="4" xfId="0" applyFont="1" applyFill="1" applyBorder="1" applyAlignment="1">
      <alignment horizontal="center" vertical="center" wrapText="1" readingOrder="1"/>
    </xf>
    <xf numFmtId="3" fontId="10" fillId="0" borderId="4" xfId="0" applyNumberFormat="1" applyFont="1" applyBorder="1" applyAlignment="1">
      <alignment horizontal="right" vertical="center" wrapText="1" readingOrder="1"/>
    </xf>
    <xf numFmtId="14" fontId="10" fillId="3" borderId="4" xfId="0" applyNumberFormat="1" applyFont="1" applyFill="1" applyBorder="1" applyAlignment="1">
      <alignment horizontal="center" vertical="center" wrapText="1" readingOrder="1"/>
    </xf>
    <xf numFmtId="3" fontId="10" fillId="3" borderId="1" xfId="0" applyNumberFormat="1" applyFont="1" applyFill="1" applyBorder="1" applyAlignment="1">
      <alignment horizontal="right" vertical="center" wrapText="1" readingOrder="1"/>
    </xf>
    <xf numFmtId="3" fontId="10" fillId="5" borderId="1" xfId="7" applyNumberFormat="1" applyFont="1" applyFill="1" applyBorder="1" applyAlignment="1">
      <alignment horizontal="right" vertical="center" wrapText="1" readingOrder="1"/>
    </xf>
    <xf numFmtId="0" fontId="10" fillId="3" borderId="1" xfId="0" applyFont="1" applyFill="1" applyBorder="1" applyAlignment="1">
      <alignment horizontal="center" vertical="center"/>
    </xf>
    <xf numFmtId="0" fontId="10" fillId="6" borderId="7" xfId="0" applyFont="1" applyFill="1" applyBorder="1" applyAlignment="1">
      <alignment horizontal="center" vertical="center" wrapText="1" readingOrder="1"/>
    </xf>
    <xf numFmtId="167" fontId="10" fillId="0" borderId="1" xfId="2" applyNumberFormat="1" applyFont="1" applyBorder="1" applyAlignment="1">
      <alignment horizontal="right" vertical="center" wrapText="1" readingOrder="1"/>
    </xf>
    <xf numFmtId="3" fontId="10" fillId="3" borderId="1" xfId="2" applyNumberFormat="1" applyFont="1" applyFill="1" applyBorder="1" applyAlignment="1">
      <alignment horizontal="right" vertical="center" wrapText="1"/>
    </xf>
    <xf numFmtId="3" fontId="10" fillId="0" borderId="11" xfId="0" applyNumberFormat="1" applyFont="1" applyBorder="1" applyAlignment="1">
      <alignment horizontal="center" vertical="center" wrapText="1" readingOrder="1"/>
    </xf>
    <xf numFmtId="3" fontId="10" fillId="0" borderId="4" xfId="0" applyNumberFormat="1" applyFont="1" applyBorder="1" applyAlignment="1">
      <alignment horizontal="center" vertical="center" wrapText="1" readingOrder="1"/>
    </xf>
    <xf numFmtId="166" fontId="10" fillId="4" borderId="4" xfId="4" applyNumberFormat="1" applyFont="1" applyFill="1" applyBorder="1" applyAlignment="1">
      <alignment horizontal="right" vertical="center" wrapText="1"/>
    </xf>
    <xf numFmtId="3" fontId="10" fillId="0" borderId="4" xfId="0" applyNumberFormat="1" applyFont="1" applyBorder="1" applyAlignment="1">
      <alignment vertical="center" wrapText="1" readingOrder="1"/>
    </xf>
    <xf numFmtId="0" fontId="10" fillId="0" borderId="11" xfId="0" applyFont="1" applyBorder="1" applyAlignment="1">
      <alignment horizontal="center" vertical="center" wrapText="1" readingOrder="1"/>
    </xf>
    <xf numFmtId="168" fontId="10" fillId="3" borderId="1" xfId="8" applyNumberFormat="1" applyFont="1" applyFill="1" applyBorder="1" applyAlignment="1">
      <alignment horizontal="center" vertical="center" wrapText="1" readingOrder="1"/>
    </xf>
    <xf numFmtId="0" fontId="23" fillId="0" borderId="0" xfId="0" applyFont="1"/>
    <xf numFmtId="0" fontId="12" fillId="0" borderId="0" xfId="0" applyFont="1"/>
    <xf numFmtId="0" fontId="26" fillId="2" borderId="4" xfId="0" applyFont="1" applyFill="1" applyBorder="1" applyAlignment="1">
      <alignment horizontal="center" vertical="center" wrapText="1" readingOrder="1"/>
    </xf>
    <xf numFmtId="3" fontId="10" fillId="0" borderId="9" xfId="0" applyNumberFormat="1" applyFont="1" applyBorder="1" applyAlignment="1">
      <alignment horizontal="center" vertical="center" wrapText="1" readingOrder="1"/>
    </xf>
    <xf numFmtId="3" fontId="0" fillId="0" borderId="0" xfId="0" applyNumberFormat="1" applyAlignment="1">
      <alignment horizontal="center" vertical="center"/>
    </xf>
    <xf numFmtId="3" fontId="10" fillId="3" borderId="20" xfId="0" applyNumberFormat="1" applyFont="1" applyFill="1" applyBorder="1" applyAlignment="1">
      <alignment vertical="center"/>
    </xf>
    <xf numFmtId="3" fontId="0" fillId="0" borderId="0" xfId="0" applyNumberFormat="1"/>
    <xf numFmtId="7" fontId="17" fillId="2" borderId="20" xfId="3" applyNumberFormat="1" applyFont="1" applyFill="1" applyBorder="1" applyAlignment="1">
      <alignment horizontal="right" vertical="center" wrapText="1"/>
    </xf>
    <xf numFmtId="3" fontId="15" fillId="2" borderId="20" xfId="1" applyNumberFormat="1" applyFont="1" applyFill="1" applyBorder="1" applyAlignment="1">
      <alignment horizontal="right" vertical="center"/>
    </xf>
    <xf numFmtId="3" fontId="15" fillId="2" borderId="20" xfId="1" applyNumberFormat="1" applyFont="1" applyFill="1" applyBorder="1" applyAlignment="1">
      <alignment vertical="center"/>
    </xf>
    <xf numFmtId="9" fontId="15" fillId="2" borderId="20" xfId="5" applyFont="1" applyFill="1" applyBorder="1" applyAlignment="1">
      <alignment horizontal="center" vertical="center"/>
    </xf>
    <xf numFmtId="0" fontId="10" fillId="2" borderId="1" xfId="0" applyFont="1" applyFill="1" applyBorder="1" applyAlignment="1">
      <alignment horizontal="center" vertical="center" wrapText="1" readingOrder="1"/>
    </xf>
    <xf numFmtId="167" fontId="5" fillId="3" borderId="20" xfId="0" applyNumberFormat="1" applyFont="1" applyFill="1" applyBorder="1" applyAlignment="1">
      <alignment horizontal="center" vertical="center" wrapText="1"/>
    </xf>
    <xf numFmtId="0" fontId="10" fillId="3" borderId="20" xfId="0" applyFont="1" applyFill="1" applyBorder="1" applyAlignment="1">
      <alignment horizontal="center" vertical="center" wrapText="1" readingOrder="1"/>
    </xf>
    <xf numFmtId="3" fontId="10" fillId="3" borderId="20" xfId="0" applyNumberFormat="1" applyFont="1" applyFill="1" applyBorder="1" applyAlignment="1">
      <alignment horizontal="center" vertical="center" wrapText="1" readingOrder="1"/>
    </xf>
    <xf numFmtId="0" fontId="16" fillId="2" borderId="20" xfId="0" applyFont="1" applyFill="1" applyBorder="1" applyAlignment="1">
      <alignment horizontal="left" vertical="center" wrapText="1" readingOrder="1"/>
    </xf>
    <xf numFmtId="3" fontId="16" fillId="2" borderId="20" xfId="2" applyNumberFormat="1" applyFont="1" applyFill="1" applyBorder="1" applyAlignment="1">
      <alignment horizontal="center" vertical="center" wrapText="1" readingOrder="1"/>
    </xf>
    <xf numFmtId="3" fontId="10" fillId="0" borderId="21" xfId="0" applyNumberFormat="1" applyFont="1" applyBorder="1" applyAlignment="1">
      <alignment horizontal="center" vertical="center" wrapText="1" readingOrder="1"/>
    </xf>
    <xf numFmtId="3" fontId="6" fillId="3" borderId="20" xfId="2" applyNumberFormat="1" applyFont="1" applyFill="1" applyBorder="1" applyAlignment="1">
      <alignment vertical="center"/>
    </xf>
    <xf numFmtId="0" fontId="5" fillId="0" borderId="20" xfId="0" applyFont="1" applyBorder="1" applyAlignment="1">
      <alignment horizontal="left" vertical="center" wrapText="1"/>
    </xf>
    <xf numFmtId="9" fontId="6" fillId="3" borderId="20" xfId="5" applyFont="1" applyFill="1" applyBorder="1" applyAlignment="1">
      <alignment horizontal="center" vertical="center"/>
    </xf>
    <xf numFmtId="0" fontId="5" fillId="0" borderId="20" xfId="0" applyFont="1" applyBorder="1" applyAlignment="1">
      <alignment horizontal="left" vertical="center" wrapText="1" readingOrder="1"/>
    </xf>
    <xf numFmtId="49" fontId="17" fillId="0" borderId="20" xfId="3" applyNumberFormat="1" applyFont="1" applyBorder="1" applyAlignment="1">
      <alignment horizontal="center" vertical="center" wrapText="1"/>
    </xf>
    <xf numFmtId="0" fontId="5" fillId="0" borderId="20" xfId="0" applyFont="1" applyBorder="1" applyAlignment="1">
      <alignment vertical="center" wrapText="1" readingOrder="1"/>
    </xf>
    <xf numFmtId="3" fontId="10" fillId="0" borderId="20" xfId="1" applyNumberFormat="1" applyFont="1" applyFill="1" applyBorder="1" applyAlignment="1">
      <alignment vertical="center"/>
    </xf>
    <xf numFmtId="164" fontId="2" fillId="2" borderId="20" xfId="2" applyFont="1" applyFill="1" applyBorder="1" applyAlignment="1">
      <alignment horizontal="center" vertical="center" wrapText="1"/>
    </xf>
    <xf numFmtId="169" fontId="10" fillId="3" borderId="1" xfId="1" applyNumberFormat="1" applyFont="1" applyFill="1" applyBorder="1" applyAlignment="1">
      <alignment horizontal="center" vertical="center" wrapText="1" readingOrder="1"/>
    </xf>
    <xf numFmtId="168" fontId="10" fillId="3" borderId="20" xfId="8" applyNumberFormat="1" applyFont="1" applyFill="1" applyBorder="1" applyAlignment="1">
      <alignment horizontal="center" vertical="center" wrapText="1" readingOrder="1"/>
    </xf>
    <xf numFmtId="3" fontId="10" fillId="5" borderId="20" xfId="0" applyNumberFormat="1" applyFont="1" applyFill="1" applyBorder="1" applyAlignment="1">
      <alignment horizontal="center" vertical="center" wrapText="1" readingOrder="1"/>
    </xf>
    <xf numFmtId="0" fontId="16" fillId="2" borderId="1" xfId="0" applyFont="1" applyFill="1" applyBorder="1" applyAlignment="1">
      <alignment horizontal="left" wrapText="1" readingOrder="1"/>
    </xf>
    <xf numFmtId="3" fontId="16" fillId="2" borderId="1" xfId="2" applyNumberFormat="1" applyFont="1" applyFill="1" applyBorder="1" applyAlignment="1">
      <alignment horizontal="center" wrapText="1" readingOrder="1"/>
    </xf>
    <xf numFmtId="3" fontId="10" fillId="0" borderId="21" xfId="7" applyNumberFormat="1" applyFont="1" applyFill="1" applyBorder="1" applyAlignment="1">
      <alignment horizontal="center" vertical="center" readingOrder="1"/>
    </xf>
    <xf numFmtId="0" fontId="10" fillId="6" borderId="20" xfId="0" applyFont="1" applyFill="1" applyBorder="1" applyAlignment="1">
      <alignment vertical="center" wrapText="1" readingOrder="1"/>
    </xf>
    <xf numFmtId="167" fontId="14" fillId="2" borderId="5" xfId="0" applyNumberFormat="1" applyFont="1" applyFill="1" applyBorder="1" applyAlignment="1">
      <alignment horizontal="center" vertical="center" wrapText="1"/>
    </xf>
    <xf numFmtId="0" fontId="20" fillId="2" borderId="5" xfId="0" applyFont="1" applyFill="1" applyBorder="1" applyAlignment="1">
      <alignment horizontal="center" vertical="center" wrapText="1" readingOrder="1"/>
    </xf>
    <xf numFmtId="3" fontId="16" fillId="2" borderId="5" xfId="2" applyNumberFormat="1" applyFont="1" applyFill="1" applyBorder="1" applyAlignment="1">
      <alignment horizontal="center" vertical="center" wrapText="1" readingOrder="1"/>
    </xf>
    <xf numFmtId="169" fontId="10" fillId="3" borderId="1" xfId="8" applyNumberFormat="1" applyFont="1" applyFill="1" applyBorder="1" applyAlignment="1">
      <alignment horizontal="center" vertical="center" wrapText="1" readingOrder="1"/>
    </xf>
    <xf numFmtId="169" fontId="10" fillId="3" borderId="20" xfId="1" applyNumberFormat="1" applyFont="1" applyFill="1" applyBorder="1" applyAlignment="1">
      <alignment horizontal="center" vertical="center" wrapText="1" readingOrder="1"/>
    </xf>
    <xf numFmtId="3" fontId="10" fillId="3" borderId="21" xfId="0" applyNumberFormat="1" applyFont="1" applyFill="1" applyBorder="1" applyAlignment="1">
      <alignment horizontal="center" vertical="center" wrapText="1" readingOrder="1"/>
    </xf>
    <xf numFmtId="169" fontId="10" fillId="3" borderId="21" xfId="1" applyNumberFormat="1" applyFont="1" applyFill="1" applyBorder="1" applyAlignment="1">
      <alignment horizontal="center" vertical="center" wrapText="1" readingOrder="1"/>
    </xf>
    <xf numFmtId="3" fontId="10" fillId="3" borderId="20" xfId="1" applyNumberFormat="1" applyFont="1" applyFill="1" applyBorder="1" applyAlignment="1">
      <alignment vertical="center"/>
    </xf>
    <xf numFmtId="0" fontId="15" fillId="2" borderId="20" xfId="0" applyFont="1" applyFill="1" applyBorder="1" applyAlignment="1">
      <alignment horizontal="right" vertical="top"/>
    </xf>
    <xf numFmtId="0" fontId="0" fillId="0" borderId="0" xfId="0" applyAlignment="1">
      <alignment vertical="top"/>
    </xf>
    <xf numFmtId="0" fontId="0" fillId="3" borderId="0" xfId="0" applyFill="1" applyAlignment="1">
      <alignment horizontal="center" vertical="center"/>
    </xf>
    <xf numFmtId="3" fontId="10" fillId="3" borderId="4" xfId="0" applyNumberFormat="1" applyFont="1" applyFill="1" applyBorder="1" applyAlignment="1">
      <alignment horizontal="center" vertical="center" wrapText="1" readingOrder="1"/>
    </xf>
    <xf numFmtId="3" fontId="18" fillId="0" borderId="0" xfId="0" applyNumberFormat="1" applyFont="1" applyAlignment="1">
      <alignment horizontal="right"/>
    </xf>
    <xf numFmtId="7" fontId="17" fillId="0" borderId="20" xfId="3" quotePrefix="1" applyNumberFormat="1" applyFont="1" applyBorder="1" applyAlignment="1">
      <alignment horizontal="center" vertical="center" wrapText="1"/>
    </xf>
    <xf numFmtId="7" fontId="17" fillId="0" borderId="20" xfId="3" applyNumberFormat="1" applyFont="1" applyBorder="1" applyAlignment="1">
      <alignment horizontal="center" vertical="center" wrapText="1"/>
    </xf>
    <xf numFmtId="0" fontId="6" fillId="3" borderId="0" xfId="0" applyFont="1" applyFill="1"/>
    <xf numFmtId="3" fontId="10" fillId="3" borderId="8" xfId="0" applyNumberFormat="1" applyFont="1" applyFill="1" applyBorder="1" applyAlignment="1">
      <alignment horizontal="right" vertical="center" wrapText="1" readingOrder="1"/>
    </xf>
    <xf numFmtId="3" fontId="10" fillId="3" borderId="4" xfId="0" applyNumberFormat="1" applyFont="1" applyFill="1" applyBorder="1" applyAlignment="1">
      <alignment horizontal="right" vertical="center" wrapText="1" readingOrder="1"/>
    </xf>
    <xf numFmtId="166" fontId="10" fillId="7" borderId="1" xfId="4" applyNumberFormat="1" applyFont="1" applyFill="1" applyBorder="1" applyAlignment="1">
      <alignment horizontal="right" vertical="center" wrapText="1"/>
    </xf>
    <xf numFmtId="3" fontId="6" fillId="0" borderId="20" xfId="0" applyNumberFormat="1" applyFont="1" applyBorder="1" applyAlignment="1">
      <alignment vertical="center" wrapText="1"/>
    </xf>
    <xf numFmtId="4" fontId="6" fillId="0" borderId="20" xfId="0" applyNumberFormat="1" applyFont="1" applyBorder="1" applyAlignment="1">
      <alignment vertical="center" wrapText="1"/>
    </xf>
    <xf numFmtId="3" fontId="10" fillId="0" borderId="20" xfId="0" applyNumberFormat="1" applyFont="1" applyBorder="1" applyAlignment="1">
      <alignment horizontal="right" vertical="center" wrapText="1" readingOrder="1"/>
    </xf>
    <xf numFmtId="3" fontId="6" fillId="3" borderId="20" xfId="0" applyNumberFormat="1" applyFont="1" applyFill="1" applyBorder="1" applyAlignment="1">
      <alignment vertical="center" wrapText="1"/>
    </xf>
    <xf numFmtId="4" fontId="6" fillId="3" borderId="20" xfId="0" applyNumberFormat="1" applyFont="1" applyFill="1" applyBorder="1" applyAlignment="1">
      <alignment vertical="center" wrapText="1"/>
    </xf>
    <xf numFmtId="0" fontId="5" fillId="0" borderId="20" xfId="0" applyFont="1" applyBorder="1" applyAlignment="1">
      <alignment horizontal="left" vertical="top" wrapText="1"/>
    </xf>
    <xf numFmtId="0" fontId="5" fillId="0" borderId="20" xfId="0" applyFont="1" applyBorder="1" applyAlignment="1">
      <alignment horizontal="left" vertical="top" wrapText="1" readingOrder="1"/>
    </xf>
    <xf numFmtId="0" fontId="5" fillId="0" borderId="20" xfId="0" applyFont="1" applyBorder="1" applyAlignment="1">
      <alignment vertical="top" wrapText="1" readingOrder="1"/>
    </xf>
    <xf numFmtId="0" fontId="8" fillId="2" borderId="20" xfId="0" applyFont="1" applyFill="1" applyBorder="1" applyAlignment="1">
      <alignment horizontal="center" vertical="center" wrapText="1"/>
    </xf>
    <xf numFmtId="14" fontId="10" fillId="0" borderId="20" xfId="0" applyNumberFormat="1" applyFont="1" applyBorder="1" applyAlignment="1">
      <alignment horizontal="center" vertical="center" wrapText="1" readingOrder="1"/>
    </xf>
    <xf numFmtId="14" fontId="10" fillId="3" borderId="20" xfId="0" applyNumberFormat="1" applyFont="1" applyFill="1" applyBorder="1" applyAlignment="1">
      <alignment horizontal="center" vertical="center" wrapText="1" readingOrder="1"/>
    </xf>
    <xf numFmtId="3" fontId="10" fillId="3" borderId="29" xfId="0" applyNumberFormat="1" applyFont="1" applyFill="1" applyBorder="1" applyAlignment="1">
      <alignment horizontal="center" vertical="center" wrapText="1" readingOrder="1"/>
    </xf>
    <xf numFmtId="3" fontId="4" fillId="3" borderId="20" xfId="2" applyNumberFormat="1" applyFont="1" applyFill="1" applyBorder="1" applyAlignment="1">
      <alignment horizontal="right" vertical="center" wrapText="1"/>
    </xf>
    <xf numFmtId="3" fontId="10" fillId="3" borderId="20" xfId="2" applyNumberFormat="1" applyFont="1" applyFill="1" applyBorder="1" applyAlignment="1">
      <alignment horizontal="right" vertical="center" wrapText="1"/>
    </xf>
    <xf numFmtId="7" fontId="17" fillId="3" borderId="20" xfId="3" applyNumberFormat="1" applyFont="1" applyFill="1" applyBorder="1" applyAlignment="1">
      <alignment horizontal="center" vertical="center" wrapText="1"/>
    </xf>
    <xf numFmtId="0" fontId="5" fillId="3" borderId="20" xfId="0" applyFont="1" applyFill="1" applyBorder="1" applyAlignment="1">
      <alignment horizontal="left" vertical="center" wrapText="1" readingOrder="1"/>
    </xf>
    <xf numFmtId="0" fontId="5" fillId="3" borderId="20" xfId="0" applyFont="1" applyFill="1" applyBorder="1" applyAlignment="1">
      <alignment horizontal="left" vertical="top" wrapText="1"/>
    </xf>
    <xf numFmtId="3" fontId="10" fillId="3" borderId="8" xfId="0" applyNumberFormat="1" applyFont="1" applyFill="1" applyBorder="1" applyAlignment="1">
      <alignment horizontal="center" vertical="center" wrapText="1" readingOrder="1"/>
    </xf>
    <xf numFmtId="3" fontId="4" fillId="3" borderId="20" xfId="2" applyNumberFormat="1" applyFont="1" applyFill="1" applyBorder="1" applyAlignment="1">
      <alignment vertical="center" wrapText="1"/>
    </xf>
    <xf numFmtId="14" fontId="10" fillId="3" borderId="9" xfId="0" applyNumberFormat="1" applyFont="1" applyFill="1" applyBorder="1" applyAlignment="1">
      <alignment horizontal="center" vertical="center" wrapText="1" readingOrder="1"/>
    </xf>
    <xf numFmtId="173" fontId="2" fillId="2" borderId="20" xfId="1" applyNumberFormat="1" applyFont="1" applyFill="1" applyBorder="1" applyAlignment="1">
      <alignment horizontal="center" vertical="center" wrapText="1"/>
    </xf>
    <xf numFmtId="171" fontId="10" fillId="3" borderId="20" xfId="7" applyNumberFormat="1" applyFont="1" applyFill="1" applyBorder="1" applyAlignment="1">
      <alignment horizontal="right" vertical="center" wrapText="1" readingOrder="1"/>
    </xf>
    <xf numFmtId="0" fontId="16" fillId="3" borderId="0" xfId="0" applyFont="1" applyFill="1" applyAlignment="1">
      <alignment horizontal="left" vertical="center" wrapText="1" readingOrder="1"/>
    </xf>
    <xf numFmtId="3" fontId="16" fillId="3" borderId="0" xfId="2" applyNumberFormat="1" applyFont="1" applyFill="1" applyBorder="1" applyAlignment="1">
      <alignment horizontal="center" vertical="center" wrapText="1" readingOrder="1"/>
    </xf>
    <xf numFmtId="14" fontId="10" fillId="3" borderId="20" xfId="0" quotePrefix="1" applyNumberFormat="1" applyFont="1" applyFill="1" applyBorder="1" applyAlignment="1">
      <alignment horizontal="center" vertical="center" wrapText="1" readingOrder="1"/>
    </xf>
    <xf numFmtId="14" fontId="10" fillId="3" borderId="11" xfId="0" applyNumberFormat="1" applyFont="1" applyFill="1" applyBorder="1" applyAlignment="1">
      <alignment horizontal="center" vertical="center" wrapText="1" readingOrder="1"/>
    </xf>
    <xf numFmtId="167" fontId="14" fillId="2" borderId="1" xfId="0" applyNumberFormat="1" applyFont="1" applyFill="1" applyBorder="1" applyAlignment="1">
      <alignment horizontal="center" wrapText="1"/>
    </xf>
    <xf numFmtId="0" fontId="20" fillId="2" borderId="1" xfId="0" applyFont="1" applyFill="1" applyBorder="1" applyAlignment="1">
      <alignment horizontal="center" wrapText="1" readingOrder="1"/>
    </xf>
    <xf numFmtId="0" fontId="6" fillId="0" borderId="0" xfId="0" applyFont="1" applyAlignment="1">
      <alignment horizontal="center"/>
    </xf>
    <xf numFmtId="0" fontId="20" fillId="2" borderId="21" xfId="0" applyFont="1" applyFill="1" applyBorder="1" applyAlignment="1">
      <alignment horizontal="center" vertical="center" wrapText="1" readingOrder="1"/>
    </xf>
    <xf numFmtId="0" fontId="11" fillId="3" borderId="0" xfId="0" applyFont="1" applyFill="1"/>
    <xf numFmtId="0" fontId="11" fillId="3" borderId="0" xfId="0" applyFont="1" applyFill="1" applyAlignment="1">
      <alignment horizontal="center" vertical="center"/>
    </xf>
    <xf numFmtId="167" fontId="5" fillId="3" borderId="20" xfId="0" applyNumberFormat="1" applyFont="1" applyFill="1" applyBorder="1" applyAlignment="1">
      <alignment horizontal="left" vertical="center" wrapText="1"/>
    </xf>
    <xf numFmtId="3" fontId="10" fillId="6" borderId="20" xfId="7" applyNumberFormat="1" applyFont="1" applyFill="1" applyBorder="1" applyAlignment="1">
      <alignment horizontal="right" vertical="center" wrapText="1" readingOrder="1"/>
    </xf>
    <xf numFmtId="3" fontId="10" fillId="3" borderId="20" xfId="2" applyNumberFormat="1" applyFont="1" applyFill="1" applyBorder="1" applyAlignment="1">
      <alignment horizontal="right" vertical="center" wrapText="1" readingOrder="1"/>
    </xf>
    <xf numFmtId="171" fontId="5" fillId="3" borderId="20" xfId="7" applyNumberFormat="1" applyFont="1" applyFill="1" applyBorder="1" applyAlignment="1">
      <alignment horizontal="right" vertical="center" wrapText="1" readingOrder="1"/>
    </xf>
    <xf numFmtId="0" fontId="10" fillId="2" borderId="20" xfId="0" applyFont="1" applyFill="1" applyBorder="1" applyAlignment="1">
      <alignment horizontal="center" vertical="center" wrapText="1" readingOrder="1"/>
    </xf>
    <xf numFmtId="3" fontId="10" fillId="0" borderId="20" xfId="7" applyNumberFormat="1" applyFont="1" applyBorder="1" applyAlignment="1">
      <alignment horizontal="right" vertical="center" wrapText="1" readingOrder="1"/>
    </xf>
    <xf numFmtId="0" fontId="10" fillId="0" borderId="0" xfId="0" applyFont="1" applyAlignment="1">
      <alignment horizontal="left" vertical="center" wrapText="1" readingOrder="1"/>
    </xf>
    <xf numFmtId="171" fontId="10" fillId="3" borderId="20" xfId="2" applyNumberFormat="1" applyFont="1" applyFill="1" applyBorder="1" applyAlignment="1">
      <alignment horizontal="right" vertical="center" wrapText="1" readingOrder="1"/>
    </xf>
    <xf numFmtId="3" fontId="10" fillId="3" borderId="20" xfId="2" applyNumberFormat="1" applyFont="1" applyFill="1" applyBorder="1" applyAlignment="1">
      <alignment horizontal="center" vertical="center" wrapText="1" readingOrder="1"/>
    </xf>
    <xf numFmtId="0" fontId="10" fillId="0" borderId="20" xfId="0" applyFont="1" applyBorder="1" applyAlignment="1">
      <alignment horizontal="center" vertical="center" wrapText="1" readingOrder="1"/>
    </xf>
    <xf numFmtId="0" fontId="10" fillId="3" borderId="21" xfId="0" applyFont="1" applyFill="1" applyBorder="1" applyAlignment="1">
      <alignment horizontal="center" vertical="center" wrapText="1" readingOrder="1"/>
    </xf>
    <xf numFmtId="0" fontId="10" fillId="0" borderId="0" xfId="0" applyFont="1" applyAlignment="1">
      <alignment horizontal="center" vertical="center" wrapText="1" readingOrder="1"/>
    </xf>
    <xf numFmtId="0" fontId="16" fillId="2" borderId="20" xfId="0" applyFont="1" applyFill="1" applyBorder="1" applyAlignment="1">
      <alignment horizontal="left" wrapText="1" readingOrder="1"/>
    </xf>
    <xf numFmtId="0" fontId="11" fillId="3" borderId="20" xfId="0" applyFont="1" applyFill="1" applyBorder="1" applyAlignment="1">
      <alignment horizontal="center" vertical="center"/>
    </xf>
    <xf numFmtId="3" fontId="10" fillId="6" borderId="20" xfId="7" applyNumberFormat="1" applyFont="1" applyFill="1" applyBorder="1" applyAlignment="1">
      <alignment horizontal="center" vertical="center" wrapText="1" readingOrder="1"/>
    </xf>
    <xf numFmtId="3" fontId="0" fillId="0" borderId="0" xfId="0" applyNumberFormat="1" applyAlignment="1">
      <alignment horizontal="center"/>
    </xf>
    <xf numFmtId="0" fontId="16" fillId="2" borderId="20" xfId="0" applyFont="1" applyFill="1" applyBorder="1" applyAlignment="1">
      <alignment horizontal="center" vertical="center" wrapText="1" readingOrder="1"/>
    </xf>
    <xf numFmtId="0" fontId="10" fillId="6" borderId="8" xfId="0" applyFont="1" applyFill="1" applyBorder="1" applyAlignment="1">
      <alignment horizontal="center" vertical="center" wrapText="1" readingOrder="1"/>
    </xf>
    <xf numFmtId="0" fontId="6" fillId="3" borderId="20" xfId="9" applyFont="1" applyFill="1" applyBorder="1" applyAlignment="1">
      <alignment horizontal="center" vertical="center" wrapText="1"/>
    </xf>
    <xf numFmtId="14" fontId="6" fillId="3" borderId="20" xfId="0" applyNumberFormat="1" applyFont="1" applyFill="1" applyBorder="1" applyAlignment="1">
      <alignment horizontal="center" vertical="center" wrapText="1"/>
    </xf>
    <xf numFmtId="14" fontId="10" fillId="0" borderId="30" xfId="0" applyNumberFormat="1" applyFont="1" applyBorder="1" applyAlignment="1">
      <alignment horizontal="center" vertical="center" wrapText="1" readingOrder="1"/>
    </xf>
    <xf numFmtId="174" fontId="17" fillId="2" borderId="20" xfId="3" applyNumberFormat="1" applyFont="1" applyFill="1" applyBorder="1" applyAlignment="1">
      <alignment horizontal="right" vertical="center" wrapText="1"/>
    </xf>
    <xf numFmtId="174" fontId="15" fillId="2" borderId="20" xfId="0" applyNumberFormat="1" applyFont="1" applyFill="1" applyBorder="1" applyAlignment="1">
      <alignment horizontal="right" vertical="center"/>
    </xf>
    <xf numFmtId="3" fontId="10" fillId="3" borderId="30" xfId="0" applyNumberFormat="1" applyFont="1" applyFill="1" applyBorder="1" applyAlignment="1">
      <alignment horizontal="center" vertical="center" wrapText="1" readingOrder="1"/>
    </xf>
    <xf numFmtId="3" fontId="6" fillId="0" borderId="0" xfId="0" applyNumberFormat="1" applyFont="1"/>
    <xf numFmtId="171" fontId="10" fillId="3" borderId="21" xfId="7" applyNumberFormat="1" applyFont="1" applyFill="1" applyBorder="1" applyAlignment="1">
      <alignment horizontal="right" vertical="center" wrapText="1" readingOrder="1"/>
    </xf>
    <xf numFmtId="167" fontId="14" fillId="2" borderId="21" xfId="0" applyNumberFormat="1" applyFont="1" applyFill="1" applyBorder="1" applyAlignment="1">
      <alignment horizontal="center" vertical="center" wrapText="1"/>
    </xf>
    <xf numFmtId="0" fontId="10" fillId="0" borderId="0" xfId="0" applyFont="1" applyAlignment="1">
      <alignment horizontal="left" vertical="center" readingOrder="1"/>
    </xf>
    <xf numFmtId="0" fontId="10" fillId="3" borderId="0" xfId="0" applyFont="1" applyFill="1" applyAlignment="1">
      <alignment horizontal="center" vertical="center" wrapText="1" readingOrder="1"/>
    </xf>
    <xf numFmtId="3" fontId="6" fillId="3" borderId="20" xfId="1" applyNumberFormat="1" applyFont="1" applyFill="1" applyBorder="1" applyAlignment="1">
      <alignment vertical="center"/>
    </xf>
    <xf numFmtId="171" fontId="10" fillId="6" borderId="20" xfId="0" applyNumberFormat="1" applyFont="1" applyFill="1" applyBorder="1" applyAlignment="1">
      <alignment horizontal="center" vertical="center" wrapText="1" readingOrder="1"/>
    </xf>
    <xf numFmtId="3" fontId="10" fillId="3" borderId="20" xfId="0" applyNumberFormat="1" applyFont="1" applyFill="1" applyBorder="1" applyAlignment="1">
      <alignment horizontal="right" vertical="center" wrapText="1" readingOrder="1"/>
    </xf>
    <xf numFmtId="3" fontId="6" fillId="3" borderId="20" xfId="5" applyNumberFormat="1" applyFont="1" applyFill="1" applyBorder="1" applyAlignment="1">
      <alignment horizontal="right" vertical="center"/>
    </xf>
    <xf numFmtId="164" fontId="2" fillId="2" borderId="20" xfId="1" applyFont="1" applyFill="1" applyBorder="1" applyAlignment="1">
      <alignment horizontal="center" vertical="center" wrapText="1"/>
    </xf>
    <xf numFmtId="164" fontId="0" fillId="3" borderId="0" xfId="1" applyFont="1" applyFill="1" applyAlignment="1">
      <alignment horizontal="right"/>
    </xf>
    <xf numFmtId="3" fontId="10" fillId="3" borderId="22" xfId="0" applyNumberFormat="1" applyFont="1" applyFill="1" applyBorder="1" applyAlignment="1">
      <alignment horizontal="right" vertical="center" wrapText="1" readingOrder="1"/>
    </xf>
    <xf numFmtId="0" fontId="5" fillId="3" borderId="1" xfId="0" applyFont="1" applyFill="1" applyBorder="1" applyAlignment="1">
      <alignment vertical="center" wrapText="1"/>
    </xf>
    <xf numFmtId="3" fontId="10" fillId="6" borderId="1" xfId="7" applyNumberFormat="1" applyFont="1" applyFill="1" applyBorder="1" applyAlignment="1">
      <alignment horizontal="right" vertical="center" wrapText="1" readingOrder="1"/>
    </xf>
    <xf numFmtId="166" fontId="10" fillId="7" borderId="1" xfId="4" applyNumberFormat="1" applyFont="1" applyFill="1" applyBorder="1" applyAlignment="1">
      <alignment horizontal="center" vertical="center" wrapText="1"/>
    </xf>
    <xf numFmtId="14" fontId="10" fillId="3" borderId="2" xfId="0" applyNumberFormat="1" applyFont="1" applyFill="1" applyBorder="1" applyAlignment="1">
      <alignment horizontal="center" vertical="center" wrapText="1" readingOrder="1"/>
    </xf>
    <xf numFmtId="3" fontId="10" fillId="3" borderId="1" xfId="0" applyNumberFormat="1" applyFont="1" applyFill="1" applyBorder="1" applyAlignment="1">
      <alignment horizontal="right" vertical="center"/>
    </xf>
    <xf numFmtId="166" fontId="10" fillId="7" borderId="20" xfId="4" applyNumberFormat="1" applyFont="1" applyFill="1" applyBorder="1" applyAlignment="1">
      <alignment horizontal="right" vertical="center" wrapText="1"/>
    </xf>
    <xf numFmtId="0" fontId="11" fillId="3" borderId="0" xfId="0" applyFont="1" applyFill="1" applyAlignment="1">
      <alignment vertical="center"/>
    </xf>
    <xf numFmtId="49" fontId="4" fillId="3" borderId="20" xfId="3" applyNumberFormat="1" applyFont="1" applyFill="1" applyBorder="1" applyAlignment="1">
      <alignment horizontal="center" wrapText="1"/>
    </xf>
    <xf numFmtId="3" fontId="10" fillId="3" borderId="4" xfId="0" applyNumberFormat="1" applyFont="1" applyFill="1" applyBorder="1" applyAlignment="1">
      <alignment vertical="center" wrapText="1" readingOrder="1"/>
    </xf>
    <xf numFmtId="3" fontId="10" fillId="3" borderId="20" xfId="7" applyNumberFormat="1" applyFont="1" applyFill="1" applyBorder="1" applyAlignment="1">
      <alignment horizontal="right" vertical="center" wrapText="1" readingOrder="1"/>
    </xf>
    <xf numFmtId="0" fontId="10" fillId="3" borderId="9" xfId="0" applyFont="1" applyFill="1" applyBorder="1" applyAlignment="1">
      <alignment horizontal="center" vertical="center" wrapText="1" readingOrder="1"/>
    </xf>
    <xf numFmtId="3" fontId="10" fillId="3" borderId="9" xfId="0" applyNumberFormat="1" applyFont="1" applyFill="1" applyBorder="1" applyAlignment="1">
      <alignment vertical="center" wrapText="1" readingOrder="1"/>
    </xf>
    <xf numFmtId="3" fontId="10" fillId="3" borderId="27" xfId="0" applyNumberFormat="1" applyFont="1" applyFill="1" applyBorder="1" applyAlignment="1">
      <alignment horizontal="center" vertical="center" wrapText="1" readingOrder="1"/>
    </xf>
    <xf numFmtId="3" fontId="10" fillId="3" borderId="20" xfId="0" applyNumberFormat="1" applyFont="1" applyFill="1" applyBorder="1" applyAlignment="1">
      <alignment vertical="center" wrapText="1" readingOrder="1"/>
    </xf>
    <xf numFmtId="3" fontId="4" fillId="8" borderId="20" xfId="0" applyNumberFormat="1" applyFont="1" applyFill="1" applyBorder="1" applyAlignment="1">
      <alignment horizontal="center" vertical="center"/>
    </xf>
    <xf numFmtId="3" fontId="10" fillId="6" borderId="20" xfId="0" applyNumberFormat="1" applyFont="1" applyFill="1" applyBorder="1" applyAlignment="1">
      <alignment horizontal="center" vertical="center" wrapText="1" readingOrder="1"/>
    </xf>
    <xf numFmtId="14" fontId="6" fillId="3" borderId="20" xfId="0" applyNumberFormat="1" applyFont="1" applyFill="1" applyBorder="1" applyAlignment="1">
      <alignment horizontal="center" vertical="center"/>
    </xf>
    <xf numFmtId="3" fontId="10" fillId="3" borderId="16" xfId="0" applyNumberFormat="1" applyFont="1" applyFill="1" applyBorder="1" applyAlignment="1">
      <alignment horizontal="right" vertical="center" wrapText="1" readingOrder="1"/>
    </xf>
    <xf numFmtId="3" fontId="10" fillId="3" borderId="16" xfId="0" applyNumberFormat="1" applyFont="1" applyFill="1" applyBorder="1" applyAlignment="1">
      <alignment horizontal="center" vertical="center" wrapText="1" readingOrder="1"/>
    </xf>
    <xf numFmtId="0" fontId="35" fillId="0" borderId="0" xfId="0" applyFont="1" applyAlignment="1">
      <alignment horizontal="right"/>
    </xf>
    <xf numFmtId="0" fontId="32" fillId="3" borderId="20" xfId="0" applyFont="1" applyFill="1" applyBorder="1" applyAlignment="1">
      <alignment horizontal="left" vertical="center" wrapText="1"/>
    </xf>
    <xf numFmtId="164" fontId="0" fillId="0" borderId="0" xfId="1" applyFont="1"/>
    <xf numFmtId="3" fontId="16" fillId="5" borderId="20" xfId="1" applyNumberFormat="1" applyFont="1" applyFill="1" applyBorder="1" applyAlignment="1">
      <alignment horizontal="right" vertical="center" wrapText="1"/>
    </xf>
    <xf numFmtId="0" fontId="10" fillId="6" borderId="20" xfId="0" applyFont="1" applyFill="1" applyBorder="1" applyAlignment="1">
      <alignment horizontal="center" vertical="center" wrapText="1" readingOrder="1"/>
    </xf>
    <xf numFmtId="3" fontId="10" fillId="0" borderId="20" xfId="0" applyNumberFormat="1" applyFont="1" applyBorder="1" applyAlignment="1">
      <alignment horizontal="center" vertical="center" wrapText="1" readingOrder="1"/>
    </xf>
    <xf numFmtId="0" fontId="6" fillId="3" borderId="0" xfId="0" applyFont="1" applyFill="1" applyAlignment="1">
      <alignment horizontal="left" wrapText="1"/>
    </xf>
    <xf numFmtId="0" fontId="10" fillId="3" borderId="8" xfId="0" applyFont="1" applyFill="1" applyBorder="1" applyAlignment="1">
      <alignment horizontal="center" vertical="center" wrapText="1" readingOrder="1"/>
    </xf>
    <xf numFmtId="0" fontId="10" fillId="3" borderId="26" xfId="0" applyFont="1" applyFill="1" applyBorder="1" applyAlignment="1">
      <alignment horizontal="center" vertical="center" wrapText="1" readingOrder="1"/>
    </xf>
    <xf numFmtId="0" fontId="28" fillId="0" borderId="0" xfId="0" applyFont="1" applyAlignment="1">
      <alignment vertical="center" wrapText="1"/>
    </xf>
    <xf numFmtId="9" fontId="6" fillId="0" borderId="20" xfId="5" applyFont="1" applyFill="1" applyBorder="1" applyAlignment="1">
      <alignment horizontal="center" vertical="center"/>
    </xf>
    <xf numFmtId="3" fontId="10" fillId="0" borderId="20" xfId="2" applyNumberFormat="1" applyFont="1" applyFill="1" applyBorder="1" applyAlignment="1">
      <alignment horizontal="right" vertical="center" wrapText="1"/>
    </xf>
    <xf numFmtId="0" fontId="2" fillId="2" borderId="20" xfId="0" applyFont="1" applyFill="1" applyBorder="1" applyAlignment="1">
      <alignment horizontal="center" vertical="center" wrapText="1"/>
    </xf>
    <xf numFmtId="4" fontId="0" fillId="3" borderId="0" xfId="0" applyNumberFormat="1" applyFill="1"/>
    <xf numFmtId="169" fontId="10" fillId="3" borderId="20" xfId="7" applyNumberFormat="1" applyFont="1" applyFill="1" applyBorder="1" applyAlignment="1">
      <alignment horizontal="right" vertical="center" wrapText="1" readingOrder="1"/>
    </xf>
    <xf numFmtId="169" fontId="18" fillId="0" borderId="0" xfId="0" applyNumberFormat="1" applyFont="1" applyAlignment="1">
      <alignment horizontal="right"/>
    </xf>
    <xf numFmtId="169" fontId="18" fillId="0" borderId="0" xfId="0" applyNumberFormat="1" applyFont="1"/>
    <xf numFmtId="3" fontId="0" fillId="3" borderId="0" xfId="0" applyNumberFormat="1" applyFill="1"/>
    <xf numFmtId="0" fontId="6" fillId="3" borderId="0" xfId="0" applyFont="1" applyFill="1" applyAlignment="1">
      <alignment horizontal="right"/>
    </xf>
    <xf numFmtId="0" fontId="28" fillId="3" borderId="0" xfId="0" applyFont="1" applyFill="1" applyAlignment="1">
      <alignment vertical="center" wrapText="1"/>
    </xf>
    <xf numFmtId="0" fontId="0" fillId="3" borderId="0" xfId="0" applyFill="1" applyAlignment="1">
      <alignment vertical="top"/>
    </xf>
    <xf numFmtId="0" fontId="18" fillId="3" borderId="0" xfId="0" applyFont="1" applyFill="1"/>
    <xf numFmtId="174" fontId="6" fillId="3" borderId="0" xfId="0" applyNumberFormat="1" applyFont="1" applyFill="1" applyAlignment="1">
      <alignment horizontal="right"/>
    </xf>
    <xf numFmtId="0" fontId="0" fillId="3" borderId="0" xfId="0" applyFill="1" applyAlignment="1">
      <alignment wrapText="1"/>
    </xf>
    <xf numFmtId="169" fontId="10" fillId="6" borderId="20" xfId="1" applyNumberFormat="1" applyFont="1" applyFill="1" applyBorder="1" applyAlignment="1">
      <alignment vertical="center" wrapText="1" readingOrder="1"/>
    </xf>
    <xf numFmtId="169" fontId="10" fillId="6" borderId="20" xfId="1" applyNumberFormat="1" applyFont="1" applyFill="1" applyBorder="1" applyAlignment="1">
      <alignment horizontal="center" vertical="center" wrapText="1" readingOrder="1"/>
    </xf>
    <xf numFmtId="0" fontId="20" fillId="2" borderId="20" xfId="0" applyFont="1" applyFill="1" applyBorder="1" applyAlignment="1">
      <alignment horizontal="center" vertical="center" wrapText="1" readingOrder="1"/>
    </xf>
    <xf numFmtId="0" fontId="10" fillId="0" borderId="0" xfId="0" applyFont="1" applyAlignment="1">
      <alignment vertical="center" readingOrder="1"/>
    </xf>
    <xf numFmtId="166" fontId="10" fillId="7" borderId="4" xfId="4" applyNumberFormat="1" applyFont="1" applyFill="1" applyBorder="1" applyAlignment="1">
      <alignment horizontal="right" vertical="center" wrapText="1"/>
    </xf>
    <xf numFmtId="168" fontId="5" fillId="3" borderId="20" xfId="8" applyNumberFormat="1" applyFont="1" applyFill="1" applyBorder="1" applyAlignment="1">
      <alignment horizontal="center" vertical="center" wrapText="1"/>
    </xf>
    <xf numFmtId="168" fontId="10" fillId="3" borderId="20" xfId="8" applyNumberFormat="1" applyFont="1" applyFill="1" applyBorder="1" applyAlignment="1">
      <alignment horizontal="center" vertical="center" wrapText="1"/>
    </xf>
    <xf numFmtId="168" fontId="10" fillId="3" borderId="20" xfId="8" applyNumberFormat="1" applyFont="1" applyFill="1" applyBorder="1" applyAlignment="1">
      <alignment vertical="center" wrapText="1"/>
    </xf>
    <xf numFmtId="167" fontId="10" fillId="3" borderId="20" xfId="7" applyNumberFormat="1" applyFont="1" applyFill="1" applyBorder="1" applyAlignment="1">
      <alignment horizontal="center" vertical="center"/>
    </xf>
    <xf numFmtId="0" fontId="10" fillId="3" borderId="20" xfId="0" applyFont="1" applyFill="1" applyBorder="1" applyAlignment="1">
      <alignment horizontal="center" vertical="center"/>
    </xf>
    <xf numFmtId="49" fontId="5" fillId="3" borderId="0" xfId="1" applyNumberFormat="1" applyFont="1" applyFill="1" applyBorder="1" applyAlignment="1">
      <alignment horizontal="center" vertical="center"/>
    </xf>
    <xf numFmtId="167" fontId="14" fillId="2" borderId="20" xfId="0" applyNumberFormat="1" applyFont="1" applyFill="1" applyBorder="1" applyAlignment="1">
      <alignment horizontal="center" vertical="center" wrapText="1"/>
    </xf>
    <xf numFmtId="166" fontId="10" fillId="7" borderId="20" xfId="4" applyNumberFormat="1" applyFont="1" applyFill="1" applyBorder="1" applyAlignment="1">
      <alignment horizontal="center" vertical="center" wrapText="1"/>
    </xf>
    <xf numFmtId="0" fontId="51" fillId="0" borderId="0" xfId="0" applyFont="1"/>
    <xf numFmtId="3" fontId="10" fillId="3" borderId="9" xfId="0" applyNumberFormat="1" applyFont="1" applyFill="1" applyBorder="1" applyAlignment="1">
      <alignment horizontal="center" vertical="center" wrapText="1" readingOrder="1"/>
    </xf>
    <xf numFmtId="3" fontId="10" fillId="3" borderId="29" xfId="0" applyNumberFormat="1" applyFont="1" applyFill="1" applyBorder="1" applyAlignment="1">
      <alignment horizontal="right" vertical="center" wrapText="1" readingOrder="1"/>
    </xf>
    <xf numFmtId="3" fontId="10" fillId="0" borderId="47" xfId="0" applyNumberFormat="1" applyFont="1" applyBorder="1" applyAlignment="1">
      <alignment horizontal="center" vertical="center" wrapText="1" readingOrder="1"/>
    </xf>
    <xf numFmtId="0" fontId="10" fillId="6" borderId="20" xfId="0" quotePrefix="1" applyFont="1" applyFill="1" applyBorder="1" applyAlignment="1">
      <alignment horizontal="center" vertical="center" wrapText="1" readingOrder="1"/>
    </xf>
    <xf numFmtId="3" fontId="10" fillId="0" borderId="27" xfId="0" applyNumberFormat="1" applyFont="1" applyBorder="1" applyAlignment="1">
      <alignment horizontal="center" vertical="center" wrapText="1" readingOrder="1"/>
    </xf>
    <xf numFmtId="3" fontId="10" fillId="3" borderId="5" xfId="0" applyNumberFormat="1" applyFont="1" applyFill="1" applyBorder="1" applyAlignment="1">
      <alignment horizontal="center" vertical="center" wrapText="1" readingOrder="1"/>
    </xf>
    <xf numFmtId="166" fontId="10" fillId="7" borderId="4" xfId="4" applyNumberFormat="1" applyFont="1" applyFill="1" applyBorder="1" applyAlignment="1">
      <alignment horizontal="center" vertical="center" wrapText="1"/>
    </xf>
    <xf numFmtId="0" fontId="15" fillId="0" borderId="0" xfId="0" applyFont="1"/>
    <xf numFmtId="172" fontId="6" fillId="3" borderId="20" xfId="5" applyNumberFormat="1" applyFont="1" applyFill="1" applyBorder="1" applyAlignment="1">
      <alignment horizontal="center" vertical="center"/>
    </xf>
    <xf numFmtId="4" fontId="0" fillId="0" borderId="0" xfId="0" applyNumberFormat="1"/>
    <xf numFmtId="0" fontId="32" fillId="3" borderId="0" xfId="0" applyFont="1" applyFill="1" applyAlignment="1">
      <alignment horizontal="center" vertical="center" wrapText="1"/>
    </xf>
    <xf numFmtId="0" fontId="32" fillId="3" borderId="0" xfId="0" applyFont="1" applyFill="1" applyAlignment="1">
      <alignment horizontal="left" vertical="center" wrapText="1"/>
    </xf>
    <xf numFmtId="14" fontId="32" fillId="3" borderId="0" xfId="0" applyNumberFormat="1" applyFont="1" applyFill="1" applyAlignment="1">
      <alignment horizontal="center" vertical="center" wrapText="1"/>
    </xf>
    <xf numFmtId="164" fontId="22" fillId="8" borderId="0" xfId="1" applyFont="1" applyFill="1" applyBorder="1" applyAlignment="1">
      <alignment horizontal="center" vertical="center"/>
    </xf>
    <xf numFmtId="0" fontId="6" fillId="3" borderId="20" xfId="0" applyFont="1" applyFill="1" applyBorder="1" applyAlignment="1">
      <alignment horizontal="left" vertical="center" wrapText="1"/>
    </xf>
    <xf numFmtId="0" fontId="6" fillId="3" borderId="20" xfId="0" applyFont="1" applyFill="1" applyBorder="1" applyAlignment="1">
      <alignment horizontal="left" vertical="top" wrapText="1"/>
    </xf>
    <xf numFmtId="0" fontId="10" fillId="6" borderId="1" xfId="0" applyFont="1" applyFill="1" applyBorder="1" applyAlignment="1">
      <alignment horizontal="left" vertical="top" wrapText="1" readingOrder="1"/>
    </xf>
    <xf numFmtId="0" fontId="10" fillId="6" borderId="20" xfId="0" applyFont="1" applyFill="1" applyBorder="1" applyAlignment="1">
      <alignment horizontal="left" vertical="top" wrapText="1" readingOrder="1"/>
    </xf>
    <xf numFmtId="0" fontId="10" fillId="3" borderId="1" xfId="0" applyFont="1" applyFill="1" applyBorder="1" applyAlignment="1">
      <alignment horizontal="left" vertical="top" wrapText="1" readingOrder="1"/>
    </xf>
    <xf numFmtId="0" fontId="10" fillId="3" borderId="20" xfId="0" applyFont="1" applyFill="1" applyBorder="1" applyAlignment="1">
      <alignment horizontal="left" vertical="top" wrapText="1" readingOrder="1"/>
    </xf>
    <xf numFmtId="3" fontId="6" fillId="0" borderId="20" xfId="0" applyNumberFormat="1" applyFont="1" applyBorder="1" applyAlignment="1">
      <alignment horizontal="right" vertical="center"/>
    </xf>
    <xf numFmtId="168" fontId="10" fillId="6" borderId="20" xfId="8" applyNumberFormat="1" applyFont="1" applyFill="1" applyBorder="1" applyAlignment="1">
      <alignment horizontal="center" vertical="center" wrapText="1"/>
    </xf>
    <xf numFmtId="168" fontId="10" fillId="6" borderId="20" xfId="8" applyNumberFormat="1" applyFont="1" applyFill="1" applyBorder="1" applyAlignment="1">
      <alignment horizontal="center" vertical="center" wrapText="1" readingOrder="1"/>
    </xf>
    <xf numFmtId="171" fontId="10" fillId="6" borderId="21" xfId="7" applyNumberFormat="1" applyFont="1" applyFill="1" applyBorder="1" applyAlignment="1">
      <alignment horizontal="right" vertical="center" wrapText="1" readingOrder="1"/>
    </xf>
    <xf numFmtId="3" fontId="10" fillId="0" borderId="20" xfId="0" applyNumberFormat="1" applyFont="1" applyBorder="1" applyAlignment="1">
      <alignment vertical="center" wrapText="1"/>
    </xf>
    <xf numFmtId="3" fontId="10" fillId="6" borderId="20" xfId="1" applyNumberFormat="1" applyFont="1" applyFill="1" applyBorder="1" applyAlignment="1">
      <alignment horizontal="right" vertical="center" wrapText="1"/>
    </xf>
    <xf numFmtId="3" fontId="4" fillId="3" borderId="21" xfId="2" applyNumberFormat="1" applyFont="1" applyFill="1" applyBorder="1" applyAlignment="1">
      <alignment vertical="center" wrapText="1"/>
    </xf>
    <xf numFmtId="164" fontId="6" fillId="3" borderId="0" xfId="1" applyFont="1" applyFill="1"/>
    <xf numFmtId="176" fontId="0" fillId="0" borderId="0" xfId="0" applyNumberFormat="1"/>
    <xf numFmtId="0" fontId="2" fillId="2" borderId="13" xfId="0" applyFont="1" applyFill="1" applyBorder="1" applyAlignment="1">
      <alignment horizontal="center" vertical="center" wrapText="1"/>
    </xf>
    <xf numFmtId="164" fontId="2" fillId="2" borderId="13" xfId="1" applyFont="1" applyFill="1" applyBorder="1" applyAlignment="1">
      <alignment horizontal="center" vertical="center" wrapText="1"/>
    </xf>
    <xf numFmtId="164" fontId="2" fillId="2" borderId="18" xfId="1" applyFont="1" applyFill="1" applyBorder="1" applyAlignment="1">
      <alignment horizontal="center" vertical="center" wrapText="1"/>
    </xf>
    <xf numFmtId="173" fontId="2" fillId="2" borderId="13" xfId="1" applyNumberFormat="1" applyFont="1" applyFill="1" applyBorder="1" applyAlignment="1">
      <alignment horizontal="center" vertical="center" wrapText="1"/>
    </xf>
    <xf numFmtId="9" fontId="6" fillId="3" borderId="20" xfId="5" applyFont="1" applyFill="1" applyBorder="1" applyAlignment="1">
      <alignment vertical="center" wrapText="1"/>
    </xf>
    <xf numFmtId="9" fontId="15" fillId="2" borderId="20" xfId="5" applyFont="1" applyFill="1" applyBorder="1" applyAlignment="1">
      <alignment horizontal="right" vertical="center"/>
    </xf>
    <xf numFmtId="3" fontId="6" fillId="3" borderId="20" xfId="1" applyNumberFormat="1" applyFont="1" applyFill="1" applyBorder="1" applyAlignment="1">
      <alignment horizontal="right" vertical="center"/>
    </xf>
    <xf numFmtId="0" fontId="6" fillId="3" borderId="20" xfId="0" applyFont="1" applyFill="1" applyBorder="1" applyAlignment="1">
      <alignment horizontal="center" vertical="center" wrapText="1"/>
    </xf>
    <xf numFmtId="14" fontId="10" fillId="3" borderId="20" xfId="0" applyNumberFormat="1" applyFont="1" applyFill="1" applyBorder="1" applyAlignment="1">
      <alignment horizontal="center" vertical="center"/>
    </xf>
    <xf numFmtId="168" fontId="6" fillId="3" borderId="0" xfId="0" applyNumberFormat="1" applyFont="1" applyFill="1"/>
    <xf numFmtId="0" fontId="10" fillId="3" borderId="37" xfId="0" applyFont="1" applyFill="1" applyBorder="1" applyAlignment="1">
      <alignment horizontal="center" vertical="center" wrapText="1" readingOrder="1"/>
    </xf>
    <xf numFmtId="167" fontId="10" fillId="3" borderId="1" xfId="7" applyNumberFormat="1" applyFont="1" applyFill="1" applyBorder="1" applyAlignment="1">
      <alignment horizontal="right" vertical="center" wrapText="1" readingOrder="1"/>
    </xf>
    <xf numFmtId="3" fontId="6" fillId="3" borderId="20" xfId="0" applyNumberFormat="1" applyFont="1" applyFill="1" applyBorder="1" applyAlignment="1">
      <alignment horizontal="right"/>
    </xf>
    <xf numFmtId="169" fontId="6" fillId="3" borderId="20" xfId="1" applyNumberFormat="1" applyFont="1" applyFill="1" applyBorder="1" applyAlignment="1">
      <alignment horizontal="right" vertical="center"/>
    </xf>
    <xf numFmtId="0" fontId="30" fillId="3" borderId="0" xfId="0" applyFont="1" applyFill="1" applyAlignment="1">
      <alignment horizontal="left" vertical="center"/>
    </xf>
    <xf numFmtId="3" fontId="4" fillId="3" borderId="20" xfId="12" applyNumberFormat="1" applyFont="1" applyFill="1" applyBorder="1" applyAlignment="1">
      <alignment horizontal="right" vertical="center" wrapText="1"/>
    </xf>
    <xf numFmtId="3" fontId="6" fillId="3" borderId="20" xfId="0" applyNumberFormat="1" applyFont="1" applyFill="1" applyBorder="1" applyAlignment="1">
      <alignment horizontal="right" vertical="center"/>
    </xf>
    <xf numFmtId="171" fontId="10" fillId="6" borderId="21" xfId="0" applyNumberFormat="1" applyFont="1" applyFill="1" applyBorder="1" applyAlignment="1">
      <alignment horizontal="center" vertical="center" wrapText="1" readingOrder="1"/>
    </xf>
    <xf numFmtId="169" fontId="0" fillId="0" borderId="0" xfId="1" applyNumberFormat="1" applyFont="1" applyAlignment="1">
      <alignment horizontal="right"/>
    </xf>
    <xf numFmtId="3" fontId="10" fillId="3" borderId="20" xfId="1" applyNumberFormat="1" applyFont="1" applyFill="1" applyBorder="1" applyAlignment="1">
      <alignment horizontal="right" vertical="center"/>
    </xf>
    <xf numFmtId="0" fontId="0" fillId="3" borderId="0" xfId="0" applyFill="1" applyAlignment="1">
      <alignment horizontal="center"/>
    </xf>
    <xf numFmtId="169" fontId="0" fillId="3" borderId="0" xfId="0" applyNumberFormat="1" applyFill="1"/>
    <xf numFmtId="169" fontId="6" fillId="0" borderId="20" xfId="1" applyNumberFormat="1" applyFont="1" applyFill="1" applyBorder="1" applyAlignment="1">
      <alignment horizontal="center" vertical="center"/>
    </xf>
    <xf numFmtId="169" fontId="15" fillId="2" borderId="20" xfId="1" applyNumberFormat="1" applyFont="1" applyFill="1" applyBorder="1" applyAlignment="1">
      <alignment vertical="center"/>
    </xf>
    <xf numFmtId="3" fontId="10" fillId="3" borderId="20" xfId="0" applyNumberFormat="1" applyFont="1" applyFill="1" applyBorder="1" applyAlignment="1">
      <alignment horizontal="center" vertical="center"/>
    </xf>
    <xf numFmtId="3" fontId="6" fillId="3" borderId="20" xfId="14" applyNumberFormat="1" applyFont="1" applyFill="1" applyBorder="1" applyAlignment="1">
      <alignment vertical="center"/>
    </xf>
    <xf numFmtId="7" fontId="17" fillId="3" borderId="20" xfId="3" quotePrefix="1" applyNumberFormat="1" applyFont="1" applyFill="1" applyBorder="1" applyAlignment="1">
      <alignment horizontal="center" vertical="center" wrapText="1"/>
    </xf>
    <xf numFmtId="9" fontId="6" fillId="0" borderId="21" xfId="5" applyFont="1" applyFill="1" applyBorder="1" applyAlignment="1">
      <alignment vertical="center" wrapText="1"/>
    </xf>
    <xf numFmtId="3" fontId="10" fillId="3" borderId="0" xfId="0" applyNumberFormat="1" applyFont="1" applyFill="1" applyAlignment="1">
      <alignment horizontal="center" vertical="center" wrapText="1" readingOrder="1"/>
    </xf>
    <xf numFmtId="167" fontId="10" fillId="3" borderId="20" xfId="0" applyNumberFormat="1" applyFont="1" applyFill="1" applyBorder="1" applyAlignment="1">
      <alignment horizontal="center" vertical="center" wrapText="1"/>
    </xf>
    <xf numFmtId="49" fontId="4" fillId="3" borderId="20" xfId="3" applyNumberFormat="1" applyFont="1" applyFill="1" applyBorder="1" applyAlignment="1">
      <alignment horizontal="center" vertical="center" wrapText="1"/>
    </xf>
    <xf numFmtId="0" fontId="5" fillId="3" borderId="20" xfId="0" applyFont="1" applyFill="1" applyBorder="1" applyAlignment="1">
      <alignment horizontal="left" vertical="center" wrapText="1"/>
    </xf>
    <xf numFmtId="0" fontId="10" fillId="6" borderId="21" xfId="0" applyFont="1" applyFill="1" applyBorder="1" applyAlignment="1">
      <alignment horizontal="center" vertical="center" wrapText="1" readingOrder="1"/>
    </xf>
    <xf numFmtId="3" fontId="10" fillId="3" borderId="11" xfId="0" applyNumberFormat="1" applyFont="1" applyFill="1" applyBorder="1" applyAlignment="1">
      <alignment horizontal="right" vertical="center" wrapText="1" readingOrder="1"/>
    </xf>
    <xf numFmtId="3" fontId="5" fillId="3" borderId="20" xfId="0" applyNumberFormat="1" applyFont="1" applyFill="1" applyBorder="1" applyAlignment="1">
      <alignment horizontal="right" vertical="center"/>
    </xf>
    <xf numFmtId="167" fontId="10" fillId="3" borderId="20" xfId="1" applyNumberFormat="1" applyFont="1" applyFill="1" applyBorder="1" applyAlignment="1">
      <alignment horizontal="right" vertical="center" wrapText="1" readingOrder="1"/>
    </xf>
    <xf numFmtId="49" fontId="10" fillId="3" borderId="20" xfId="0" quotePrefix="1" applyNumberFormat="1" applyFont="1" applyFill="1" applyBorder="1" applyAlignment="1">
      <alignment horizontal="center" vertical="center" readingOrder="1"/>
    </xf>
    <xf numFmtId="49" fontId="10" fillId="3" borderId="20" xfId="0" quotePrefix="1" applyNumberFormat="1" applyFont="1" applyFill="1" applyBorder="1" applyAlignment="1">
      <alignment horizontal="right" vertical="center" readingOrder="1"/>
    </xf>
    <xf numFmtId="14" fontId="4" fillId="3" borderId="20" xfId="0" applyNumberFormat="1" applyFont="1" applyFill="1" applyBorder="1" applyAlignment="1">
      <alignment horizontal="center" vertical="center" wrapText="1"/>
    </xf>
    <xf numFmtId="0" fontId="6" fillId="3" borderId="20" xfId="0" applyFont="1" applyFill="1" applyBorder="1" applyAlignment="1">
      <alignment horizontal="left" wrapText="1"/>
    </xf>
    <xf numFmtId="170" fontId="10" fillId="3" borderId="20" xfId="7" applyFont="1" applyFill="1" applyBorder="1" applyAlignment="1">
      <alignment horizontal="right" vertical="center"/>
    </xf>
    <xf numFmtId="14" fontId="10" fillId="3" borderId="8" xfId="0" applyNumberFormat="1" applyFont="1" applyFill="1" applyBorder="1" applyAlignment="1">
      <alignment horizontal="center" vertical="center" wrapText="1" readingOrder="1"/>
    </xf>
    <xf numFmtId="171" fontId="10" fillId="6" borderId="1" xfId="7" applyNumberFormat="1" applyFont="1" applyFill="1" applyBorder="1" applyAlignment="1">
      <alignment horizontal="right" vertical="center" wrapText="1" readingOrder="1"/>
    </xf>
    <xf numFmtId="171" fontId="10" fillId="6" borderId="20" xfId="7" applyNumberFormat="1" applyFont="1" applyFill="1" applyBorder="1" applyAlignment="1">
      <alignment horizontal="right" vertical="center" wrapText="1" readingOrder="1"/>
    </xf>
    <xf numFmtId="3" fontId="10" fillId="3" borderId="1" xfId="0" applyNumberFormat="1" applyFont="1" applyFill="1" applyBorder="1"/>
    <xf numFmtId="14" fontId="10" fillId="3" borderId="21" xfId="0" applyNumberFormat="1" applyFont="1" applyFill="1" applyBorder="1" applyAlignment="1">
      <alignment horizontal="center" vertical="center" wrapText="1" readingOrder="1"/>
    </xf>
    <xf numFmtId="14" fontId="10" fillId="3" borderId="0" xfId="0" applyNumberFormat="1" applyFont="1" applyFill="1" applyAlignment="1">
      <alignment horizontal="center" vertical="center" wrapText="1" readingOrder="1"/>
    </xf>
    <xf numFmtId="0" fontId="10" fillId="3" borderId="33" xfId="0" applyFont="1" applyFill="1" applyBorder="1" applyAlignment="1">
      <alignment horizontal="center" vertical="center" wrapText="1" readingOrder="1"/>
    </xf>
    <xf numFmtId="167" fontId="10" fillId="6" borderId="1" xfId="7" applyNumberFormat="1" applyFont="1" applyFill="1" applyBorder="1" applyAlignment="1">
      <alignment horizontal="right" vertical="center" wrapText="1" readingOrder="1"/>
    </xf>
    <xf numFmtId="3" fontId="10" fillId="3" borderId="1" xfId="0" applyNumberFormat="1" applyFont="1" applyFill="1" applyBorder="1" applyAlignment="1">
      <alignment horizontal="center" vertical="center"/>
    </xf>
    <xf numFmtId="3" fontId="10" fillId="3" borderId="32" xfId="0" applyNumberFormat="1" applyFont="1" applyFill="1" applyBorder="1" applyAlignment="1">
      <alignment horizontal="right" vertical="center" wrapText="1" readingOrder="1"/>
    </xf>
    <xf numFmtId="3" fontId="10" fillId="3" borderId="1" xfId="7" applyNumberFormat="1" applyFont="1" applyFill="1" applyBorder="1" applyAlignment="1">
      <alignment horizontal="right" vertical="center" wrapText="1" readingOrder="1"/>
    </xf>
    <xf numFmtId="0" fontId="6" fillId="3" borderId="0" xfId="0" applyFont="1" applyFill="1" applyAlignment="1">
      <alignment wrapText="1"/>
    </xf>
    <xf numFmtId="171" fontId="10" fillId="3" borderId="20" xfId="2" applyNumberFormat="1" applyFont="1" applyFill="1" applyBorder="1" applyAlignment="1">
      <alignment horizontal="center" vertical="center" wrapText="1" readingOrder="1"/>
    </xf>
    <xf numFmtId="169" fontId="0" fillId="0" borderId="0" xfId="0" applyNumberFormat="1"/>
    <xf numFmtId="164" fontId="0" fillId="0" borderId="0" xfId="0" applyNumberFormat="1"/>
    <xf numFmtId="169" fontId="10" fillId="0" borderId="0" xfId="1" applyNumberFormat="1" applyFont="1" applyAlignment="1">
      <alignment horizontal="left" vertical="center" wrapText="1" readingOrder="1"/>
    </xf>
    <xf numFmtId="169" fontId="6" fillId="0" borderId="0" xfId="1" applyNumberFormat="1" applyFont="1"/>
    <xf numFmtId="167" fontId="5" fillId="3" borderId="20" xfId="7" applyNumberFormat="1" applyFont="1" applyFill="1" applyBorder="1" applyAlignment="1">
      <alignment horizontal="center" vertical="center"/>
    </xf>
    <xf numFmtId="167" fontId="10" fillId="3" borderId="20" xfId="7" applyNumberFormat="1" applyFont="1" applyFill="1" applyBorder="1" applyAlignment="1">
      <alignment horizontal="right" vertical="center"/>
    </xf>
    <xf numFmtId="0" fontId="10" fillId="3" borderId="20" xfId="9" applyFont="1" applyFill="1" applyBorder="1" applyAlignment="1">
      <alignment horizontal="center" vertical="center" wrapText="1" readingOrder="1"/>
    </xf>
    <xf numFmtId="169" fontId="10" fillId="3" borderId="21" xfId="1" applyNumberFormat="1" applyFont="1" applyFill="1" applyBorder="1" applyAlignment="1">
      <alignment vertical="center" wrapText="1" readingOrder="1"/>
    </xf>
    <xf numFmtId="166" fontId="10" fillId="7" borderId="31" xfId="4" applyNumberFormat="1" applyFont="1" applyFill="1" applyBorder="1" applyAlignment="1">
      <alignment vertical="center" wrapText="1"/>
    </xf>
    <xf numFmtId="14" fontId="10" fillId="0" borderId="31" xfId="0" applyNumberFormat="1" applyFont="1" applyBorder="1" applyAlignment="1">
      <alignment vertical="center" wrapText="1" readingOrder="1"/>
    </xf>
    <xf numFmtId="164" fontId="11" fillId="3" borderId="0" xfId="0" applyNumberFormat="1" applyFont="1" applyFill="1"/>
    <xf numFmtId="3" fontId="6" fillId="3" borderId="0" xfId="0" applyNumberFormat="1" applyFont="1" applyFill="1"/>
    <xf numFmtId="0" fontId="10" fillId="0" borderId="1" xfId="0" applyFont="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4" fillId="0" borderId="20" xfId="12" applyNumberFormat="1" applyFont="1" applyBorder="1" applyAlignment="1">
      <alignment horizontal="right" wrapText="1"/>
    </xf>
    <xf numFmtId="3" fontId="10" fillId="0" borderId="20" xfId="7" applyNumberFormat="1" applyFont="1" applyFill="1" applyBorder="1" applyAlignment="1">
      <alignment horizontal="right" vertical="center" wrapText="1" readingOrder="1"/>
    </xf>
    <xf numFmtId="0" fontId="10" fillId="3" borderId="21" xfId="0" applyFont="1" applyFill="1" applyBorder="1" applyAlignment="1">
      <alignment horizontal="center" vertical="center"/>
    </xf>
    <xf numFmtId="0" fontId="6" fillId="3" borderId="0" xfId="0" applyFont="1" applyFill="1" applyAlignment="1">
      <alignment horizontal="center" vertical="center" wrapText="1"/>
    </xf>
    <xf numFmtId="0" fontId="6" fillId="3" borderId="0" xfId="0" applyFont="1" applyFill="1" applyAlignment="1">
      <alignment horizontal="left" vertical="center" wrapText="1"/>
    </xf>
    <xf numFmtId="14" fontId="6" fillId="3" borderId="0" xfId="0" applyNumberFormat="1" applyFont="1" applyFill="1" applyAlignment="1">
      <alignment horizontal="center" vertical="center" wrapText="1"/>
    </xf>
    <xf numFmtId="164" fontId="4" fillId="8" borderId="0" xfId="1" applyFont="1" applyFill="1" applyBorder="1" applyAlignment="1">
      <alignment horizontal="center" vertical="center"/>
    </xf>
    <xf numFmtId="167" fontId="10" fillId="3" borderId="21" xfId="7" applyNumberFormat="1" applyFont="1" applyFill="1" applyBorder="1" applyAlignment="1">
      <alignment horizontal="right" vertical="center"/>
    </xf>
    <xf numFmtId="170" fontId="10" fillId="3" borderId="21" xfId="7" applyFont="1" applyFill="1" applyBorder="1" applyAlignment="1">
      <alignment horizontal="right" vertical="center"/>
    </xf>
    <xf numFmtId="167" fontId="5" fillId="3" borderId="20" xfId="7" applyNumberFormat="1" applyFont="1" applyFill="1" applyBorder="1" applyAlignment="1">
      <alignment vertical="center"/>
    </xf>
    <xf numFmtId="169" fontId="10" fillId="3" borderId="48" xfId="1" applyNumberFormat="1" applyFont="1" applyFill="1" applyBorder="1" applyAlignment="1">
      <alignment horizontal="center" vertical="center" wrapText="1" readingOrder="1"/>
    </xf>
    <xf numFmtId="0" fontId="10" fillId="3" borderId="27" xfId="0" applyFont="1" applyFill="1" applyBorder="1" applyAlignment="1">
      <alignment horizontal="center" vertical="center" wrapText="1" readingOrder="1"/>
    </xf>
    <xf numFmtId="14" fontId="10" fillId="6" borderId="2" xfId="0" applyNumberFormat="1" applyFont="1" applyFill="1" applyBorder="1" applyAlignment="1">
      <alignment horizontal="center" vertical="center" wrapText="1" readingOrder="1"/>
    </xf>
    <xf numFmtId="166" fontId="10" fillId="7" borderId="20" xfId="4" applyNumberFormat="1" applyFont="1" applyFill="1" applyBorder="1" applyAlignment="1">
      <alignment vertical="center" wrapText="1"/>
    </xf>
    <xf numFmtId="14" fontId="10" fillId="3" borderId="20" xfId="0" applyNumberFormat="1" applyFont="1" applyFill="1" applyBorder="1" applyAlignment="1">
      <alignment vertical="center" wrapText="1" readingOrder="1"/>
    </xf>
    <xf numFmtId="0" fontId="6" fillId="0" borderId="20" xfId="0" applyFont="1" applyBorder="1" applyAlignment="1">
      <alignment horizontal="center" vertical="center" wrapText="1"/>
    </xf>
    <xf numFmtId="14" fontId="4" fillId="0" borderId="51" xfId="0" applyNumberFormat="1" applyFont="1" applyBorder="1" applyAlignment="1">
      <alignment horizontal="center" vertical="center" wrapText="1"/>
    </xf>
    <xf numFmtId="168" fontId="10" fillId="0" borderId="20" xfId="8" applyNumberFormat="1" applyFont="1" applyFill="1" applyBorder="1" applyAlignment="1">
      <alignment horizontal="center" vertical="center" wrapText="1" readingOrder="1"/>
    </xf>
    <xf numFmtId="0" fontId="6" fillId="3" borderId="20" xfId="0" applyFont="1" applyFill="1" applyBorder="1" applyAlignment="1">
      <alignment horizontal="center" vertical="center"/>
    </xf>
    <xf numFmtId="3" fontId="10" fillId="3" borderId="19" xfId="0" applyNumberFormat="1" applyFont="1" applyFill="1" applyBorder="1" applyAlignment="1">
      <alignment horizontal="center" vertical="center" wrapText="1" readingOrder="1"/>
    </xf>
    <xf numFmtId="169" fontId="6" fillId="3" borderId="20" xfId="1" applyNumberFormat="1" applyFont="1" applyFill="1" applyBorder="1" applyAlignment="1">
      <alignment vertical="center"/>
    </xf>
    <xf numFmtId="3" fontId="11" fillId="3" borderId="0" xfId="0" applyNumberFormat="1" applyFont="1" applyFill="1"/>
    <xf numFmtId="14" fontId="10" fillId="6" borderId="20" xfId="0" applyNumberFormat="1" applyFont="1" applyFill="1" applyBorder="1" applyAlignment="1">
      <alignment horizontal="center" vertical="center" wrapText="1" readingOrder="1"/>
    </xf>
    <xf numFmtId="3" fontId="11" fillId="0" borderId="0" xfId="0" applyNumberFormat="1" applyFont="1" applyAlignment="1">
      <alignment horizontal="left"/>
    </xf>
    <xf numFmtId="3" fontId="10" fillId="3" borderId="54" xfId="0" applyNumberFormat="1" applyFont="1" applyFill="1" applyBorder="1" applyAlignment="1">
      <alignment horizontal="center" vertical="center" wrapText="1" readingOrder="1"/>
    </xf>
    <xf numFmtId="14" fontId="6" fillId="3" borderId="54" xfId="0" applyNumberFormat="1" applyFont="1" applyFill="1" applyBorder="1" applyAlignment="1">
      <alignment horizontal="center" vertical="center" wrapText="1"/>
    </xf>
    <xf numFmtId="0" fontId="10" fillId="3" borderId="56" xfId="0" applyFont="1" applyFill="1" applyBorder="1" applyAlignment="1">
      <alignment horizontal="center" vertical="center" wrapText="1" readingOrder="1"/>
    </xf>
    <xf numFmtId="0" fontId="6" fillId="3" borderId="21" xfId="0" applyFont="1" applyFill="1" applyBorder="1" applyAlignment="1">
      <alignment horizontal="center" vertical="center" wrapText="1"/>
    </xf>
    <xf numFmtId="0" fontId="6" fillId="3" borderId="21" xfId="0" applyFont="1" applyFill="1" applyBorder="1" applyAlignment="1">
      <alignment vertical="center" wrapText="1"/>
    </xf>
    <xf numFmtId="0" fontId="6" fillId="3" borderId="21" xfId="0" applyFont="1" applyFill="1" applyBorder="1" applyAlignment="1">
      <alignment vertical="top" wrapText="1"/>
    </xf>
    <xf numFmtId="0" fontId="10" fillId="6" borderId="21" xfId="0" applyFont="1" applyFill="1" applyBorder="1" applyAlignment="1">
      <alignment vertical="top" wrapText="1" readingOrder="1"/>
    </xf>
    <xf numFmtId="3" fontId="10" fillId="6" borderId="21" xfId="0" applyNumberFormat="1" applyFont="1" applyFill="1" applyBorder="1" applyAlignment="1">
      <alignment vertical="center" wrapText="1" readingOrder="1"/>
    </xf>
    <xf numFmtId="169" fontId="4" fillId="8" borderId="54" xfId="1" applyNumberFormat="1" applyFont="1" applyFill="1" applyBorder="1" applyAlignment="1">
      <alignment horizontal="center" vertical="center"/>
    </xf>
    <xf numFmtId="169" fontId="4" fillId="8" borderId="21" xfId="1" applyNumberFormat="1" applyFont="1" applyFill="1" applyBorder="1" applyAlignment="1">
      <alignment vertical="center"/>
    </xf>
    <xf numFmtId="3" fontId="10" fillId="3" borderId="54" xfId="0" applyNumberFormat="1" applyFont="1" applyFill="1" applyBorder="1" applyAlignment="1">
      <alignment horizontal="right" vertical="center" wrapText="1" readingOrder="1"/>
    </xf>
    <xf numFmtId="169" fontId="6" fillId="3" borderId="21" xfId="1" applyNumberFormat="1" applyFont="1" applyFill="1" applyBorder="1" applyAlignment="1">
      <alignment vertical="center"/>
    </xf>
    <xf numFmtId="0" fontId="10" fillId="3" borderId="14" xfId="0" applyFont="1" applyFill="1" applyBorder="1" applyAlignment="1">
      <alignment horizontal="center" vertical="center" wrapText="1" readingOrder="1"/>
    </xf>
    <xf numFmtId="0" fontId="6" fillId="3" borderId="54" xfId="0" applyFont="1" applyFill="1" applyBorder="1" applyAlignment="1">
      <alignment horizontal="left" vertical="center" wrapText="1"/>
    </xf>
    <xf numFmtId="0" fontId="6" fillId="3" borderId="54" xfId="9" applyFont="1" applyFill="1" applyBorder="1" applyAlignment="1">
      <alignment horizontal="center" vertical="center" wrapText="1"/>
    </xf>
    <xf numFmtId="0" fontId="6" fillId="3" borderId="54" xfId="0" applyFont="1" applyFill="1" applyBorder="1" applyAlignment="1">
      <alignment horizontal="center" vertical="center" wrapText="1"/>
    </xf>
    <xf numFmtId="0" fontId="6" fillId="3" borderId="54" xfId="0" applyFont="1" applyFill="1" applyBorder="1" applyAlignment="1">
      <alignment horizontal="left" vertical="top" wrapText="1"/>
    </xf>
    <xf numFmtId="169" fontId="4" fillId="8" borderId="54" xfId="1" applyNumberFormat="1" applyFont="1" applyFill="1" applyBorder="1" applyAlignment="1">
      <alignment vertical="center"/>
    </xf>
    <xf numFmtId="14" fontId="6" fillId="3" borderId="54" xfId="0" applyNumberFormat="1" applyFont="1" applyFill="1" applyBorder="1" applyAlignment="1">
      <alignment horizontal="center" vertical="center"/>
    </xf>
    <xf numFmtId="3" fontId="5" fillId="3" borderId="54" xfId="0" applyNumberFormat="1" applyFont="1" applyFill="1" applyBorder="1" applyAlignment="1">
      <alignment horizontal="right" vertical="center" wrapText="1" readingOrder="1"/>
    </xf>
    <xf numFmtId="49" fontId="5" fillId="3" borderId="33" xfId="1" applyNumberFormat="1" applyFont="1" applyFill="1" applyBorder="1" applyAlignment="1">
      <alignment horizontal="center" vertical="center" wrapText="1"/>
    </xf>
    <xf numFmtId="0" fontId="10" fillId="3" borderId="54" xfId="0" applyFont="1" applyFill="1" applyBorder="1" applyAlignment="1">
      <alignment horizontal="center" vertical="center" wrapText="1" readingOrder="1"/>
    </xf>
    <xf numFmtId="166" fontId="10" fillId="7" borderId="54" xfId="4" applyNumberFormat="1" applyFont="1" applyFill="1" applyBorder="1" applyAlignment="1">
      <alignment horizontal="right" vertical="center" wrapText="1"/>
    </xf>
    <xf numFmtId="169" fontId="10" fillId="3" borderId="54" xfId="1" applyNumberFormat="1" applyFont="1" applyFill="1" applyBorder="1" applyAlignment="1">
      <alignment horizontal="center" vertical="center" wrapText="1" readingOrder="1"/>
    </xf>
    <xf numFmtId="168" fontId="10" fillId="3" borderId="54" xfId="8" applyNumberFormat="1" applyFont="1" applyFill="1" applyBorder="1" applyAlignment="1">
      <alignment horizontal="center" vertical="center" wrapText="1" readingOrder="1"/>
    </xf>
    <xf numFmtId="0" fontId="10" fillId="3" borderId="54" xfId="9" applyFont="1" applyFill="1" applyBorder="1" applyAlignment="1">
      <alignment horizontal="center" vertical="center" wrapText="1" readingOrder="1"/>
    </xf>
    <xf numFmtId="169" fontId="10" fillId="3" borderId="54" xfId="7" applyNumberFormat="1" applyFont="1" applyFill="1" applyBorder="1" applyAlignment="1">
      <alignment horizontal="right" vertical="center" wrapText="1" readingOrder="1"/>
    </xf>
    <xf numFmtId="0" fontId="10" fillId="3" borderId="54" xfId="0" applyFont="1" applyFill="1" applyBorder="1" applyAlignment="1">
      <alignment vertical="center"/>
    </xf>
    <xf numFmtId="0" fontId="10" fillId="3" borderId="13" xfId="0" applyFont="1" applyFill="1" applyBorder="1" applyAlignment="1">
      <alignment vertical="center"/>
    </xf>
    <xf numFmtId="0" fontId="10" fillId="6" borderId="54" xfId="0" applyFont="1" applyFill="1" applyBorder="1" applyAlignment="1">
      <alignment horizontal="center" vertical="center" wrapText="1" readingOrder="1"/>
    </xf>
    <xf numFmtId="3" fontId="10" fillId="6" borderId="54" xfId="0" applyNumberFormat="1" applyFont="1" applyFill="1" applyBorder="1" applyAlignment="1">
      <alignment horizontal="right" vertical="center" wrapText="1" readingOrder="1"/>
    </xf>
    <xf numFmtId="49" fontId="4" fillId="0" borderId="21" xfId="3" applyNumberFormat="1" applyFont="1" applyBorder="1" applyAlignment="1">
      <alignment horizontal="center" vertical="center" wrapText="1"/>
    </xf>
    <xf numFmtId="0" fontId="5" fillId="0" borderId="21" xfId="0" applyFont="1" applyBorder="1" applyAlignment="1">
      <alignment horizontal="left" vertical="center" wrapText="1" readingOrder="1"/>
    </xf>
    <xf numFmtId="0" fontId="6" fillId="3" borderId="23" xfId="0" applyFont="1" applyFill="1" applyBorder="1"/>
    <xf numFmtId="9" fontId="6" fillId="3" borderId="54" xfId="5" applyFont="1" applyFill="1" applyBorder="1" applyAlignment="1">
      <alignment horizontal="center" vertical="center"/>
    </xf>
    <xf numFmtId="0" fontId="10" fillId="0" borderId="54" xfId="0" applyFont="1" applyBorder="1" applyAlignment="1">
      <alignment horizontal="center" vertical="center" wrapText="1" readingOrder="1"/>
    </xf>
    <xf numFmtId="169" fontId="4" fillId="3" borderId="20" xfId="2" applyNumberFormat="1" applyFont="1" applyFill="1" applyBorder="1" applyAlignment="1">
      <alignment vertical="center" wrapText="1"/>
    </xf>
    <xf numFmtId="3" fontId="5" fillId="3" borderId="20" xfId="2" applyNumberFormat="1" applyFont="1" applyFill="1" applyBorder="1" applyAlignment="1">
      <alignment vertical="center" wrapText="1"/>
    </xf>
    <xf numFmtId="169" fontId="11" fillId="3" borderId="0" xfId="0" applyNumberFormat="1" applyFont="1" applyFill="1"/>
    <xf numFmtId="169" fontId="10" fillId="0" borderId="0" xfId="0" applyNumberFormat="1" applyFont="1" applyAlignment="1">
      <alignment horizontal="left" vertical="center" wrapText="1" readingOrder="1"/>
    </xf>
    <xf numFmtId="3" fontId="10" fillId="3" borderId="31" xfId="0" applyNumberFormat="1" applyFont="1" applyFill="1" applyBorder="1" applyAlignment="1">
      <alignment vertical="center" wrapText="1" readingOrder="1"/>
    </xf>
    <xf numFmtId="169" fontId="11" fillId="0" borderId="0" xfId="0" applyNumberFormat="1" applyFont="1"/>
    <xf numFmtId="3" fontId="10" fillId="0" borderId="0" xfId="0" applyNumberFormat="1" applyFont="1" applyAlignment="1">
      <alignment horizontal="left" vertical="center" wrapText="1" readingOrder="1"/>
    </xf>
    <xf numFmtId="3" fontId="62" fillId="0" borderId="0" xfId="0" applyNumberFormat="1" applyFont="1"/>
    <xf numFmtId="14" fontId="10" fillId="3" borderId="54" xfId="0" applyNumberFormat="1" applyFont="1" applyFill="1" applyBorder="1" applyAlignment="1">
      <alignment horizontal="center" vertical="center" wrapText="1" readingOrder="1"/>
    </xf>
    <xf numFmtId="0" fontId="35" fillId="3" borderId="0" xfId="0" applyFont="1" applyFill="1" applyAlignment="1">
      <alignment wrapText="1"/>
    </xf>
    <xf numFmtId="168" fontId="0" fillId="0" borderId="0" xfId="0" applyNumberFormat="1"/>
    <xf numFmtId="3" fontId="11" fillId="0" borderId="0" xfId="0" applyNumberFormat="1" applyFont="1"/>
    <xf numFmtId="9" fontId="16" fillId="2" borderId="1" xfId="5" applyFont="1" applyFill="1" applyBorder="1" applyAlignment="1">
      <alignment horizontal="center" vertical="center" wrapText="1" readingOrder="1"/>
    </xf>
    <xf numFmtId="169" fontId="16" fillId="2" borderId="1" xfId="1" applyNumberFormat="1" applyFont="1" applyFill="1" applyBorder="1" applyAlignment="1">
      <alignment horizontal="left" vertical="center" wrapText="1" readingOrder="1"/>
    </xf>
    <xf numFmtId="167" fontId="63" fillId="2" borderId="20" xfId="0" applyNumberFormat="1" applyFont="1" applyFill="1" applyBorder="1" applyAlignment="1">
      <alignment horizontal="center" vertical="center" wrapText="1"/>
    </xf>
    <xf numFmtId="167" fontId="2" fillId="2" borderId="20" xfId="0" applyNumberFormat="1" applyFont="1" applyFill="1" applyBorder="1" applyAlignment="1">
      <alignment horizontal="center" vertical="center" wrapText="1"/>
    </xf>
    <xf numFmtId="0" fontId="6" fillId="0" borderId="54" xfId="0" applyFont="1" applyBorder="1" applyAlignment="1">
      <alignment horizontal="center"/>
    </xf>
    <xf numFmtId="168" fontId="6" fillId="0" borderId="54" xfId="6" applyNumberFormat="1" applyFont="1" applyBorder="1" applyAlignment="1">
      <alignment horizontal="center"/>
    </xf>
    <xf numFmtId="168" fontId="6" fillId="0" borderId="54" xfId="6" applyNumberFormat="1" applyFont="1" applyBorder="1"/>
    <xf numFmtId="9" fontId="6" fillId="0" borderId="54" xfId="5" applyFont="1" applyBorder="1" applyAlignment="1">
      <alignment horizontal="center"/>
    </xf>
    <xf numFmtId="0" fontId="6" fillId="3" borderId="54" xfId="0" applyFont="1" applyFill="1" applyBorder="1" applyAlignment="1">
      <alignment horizontal="center"/>
    </xf>
    <xf numFmtId="168" fontId="6" fillId="3" borderId="54" xfId="1" applyNumberFormat="1" applyFont="1" applyFill="1" applyBorder="1" applyAlignment="1">
      <alignment vertical="center" wrapText="1"/>
    </xf>
    <xf numFmtId="167" fontId="5" fillId="3" borderId="54" xfId="0" applyNumberFormat="1" applyFont="1" applyFill="1" applyBorder="1" applyAlignment="1">
      <alignment vertical="center" wrapText="1"/>
    </xf>
    <xf numFmtId="167" fontId="2" fillId="2" borderId="54" xfId="0" applyNumberFormat="1" applyFont="1" applyFill="1" applyBorder="1" applyAlignment="1">
      <alignment horizontal="center" vertical="center" wrapText="1"/>
    </xf>
    <xf numFmtId="167" fontId="63" fillId="2" borderId="54" xfId="0" applyNumberFormat="1" applyFont="1" applyFill="1" applyBorder="1" applyAlignment="1">
      <alignment horizontal="center" vertical="center" wrapText="1"/>
    </xf>
    <xf numFmtId="168" fontId="6" fillId="0" borderId="54" xfId="1" applyNumberFormat="1" applyFont="1" applyBorder="1" applyAlignment="1">
      <alignment vertical="center"/>
    </xf>
    <xf numFmtId="9" fontId="6" fillId="0" borderId="54" xfId="5" applyFont="1" applyBorder="1" applyAlignment="1">
      <alignment horizontal="center" vertical="center"/>
    </xf>
    <xf numFmtId="169" fontId="16" fillId="2" borderId="54" xfId="1" applyNumberFormat="1" applyFont="1" applyFill="1" applyBorder="1" applyAlignment="1">
      <alignment horizontal="left" vertical="center" wrapText="1" readingOrder="1"/>
    </xf>
    <xf numFmtId="9" fontId="16" fillId="2" borderId="54" xfId="5" applyFont="1" applyFill="1" applyBorder="1" applyAlignment="1">
      <alignment horizontal="center" vertical="center" wrapText="1" readingOrder="1"/>
    </xf>
    <xf numFmtId="167" fontId="5" fillId="3" borderId="54" xfId="0" applyNumberFormat="1" applyFont="1" applyFill="1" applyBorder="1" applyAlignment="1">
      <alignment horizontal="center" vertical="center" wrapText="1"/>
    </xf>
    <xf numFmtId="168" fontId="10" fillId="3" borderId="54" xfId="8" applyNumberFormat="1" applyFont="1" applyFill="1" applyBorder="1" applyAlignment="1">
      <alignment vertical="center" wrapText="1" readingOrder="1"/>
    </xf>
    <xf numFmtId="3" fontId="10" fillId="3" borderId="54" xfId="0" applyNumberFormat="1" applyFont="1" applyFill="1" applyBorder="1" applyAlignment="1">
      <alignment horizontal="center" vertical="center" readingOrder="1"/>
    </xf>
    <xf numFmtId="3" fontId="10" fillId="3" borderId="54" xfId="0" applyNumberFormat="1" applyFont="1" applyFill="1" applyBorder="1" applyAlignment="1">
      <alignment vertical="center" wrapText="1" readingOrder="1"/>
    </xf>
    <xf numFmtId="3" fontId="4" fillId="8" borderId="54" xfId="0" applyNumberFormat="1" applyFont="1" applyFill="1" applyBorder="1" applyAlignment="1">
      <alignment horizontal="center" vertical="center"/>
    </xf>
    <xf numFmtId="3" fontId="11" fillId="3" borderId="0" xfId="0" applyNumberFormat="1" applyFont="1" applyFill="1" applyAlignment="1">
      <alignment vertical="center"/>
    </xf>
    <xf numFmtId="3" fontId="4" fillId="0" borderId="20" xfId="0" applyNumberFormat="1" applyFont="1" applyBorder="1" applyAlignment="1">
      <alignment horizontal="center" vertical="center"/>
    </xf>
    <xf numFmtId="0" fontId="6" fillId="0" borderId="20" xfId="0" applyFont="1" applyBorder="1" applyAlignment="1">
      <alignment horizontal="left" vertical="top" wrapText="1"/>
    </xf>
    <xf numFmtId="14" fontId="6" fillId="0" borderId="20" xfId="0" applyNumberFormat="1" applyFont="1" applyBorder="1" applyAlignment="1">
      <alignment horizontal="center" vertical="center" wrapText="1"/>
    </xf>
    <xf numFmtId="167" fontId="5" fillId="0" borderId="54" xfId="0" applyNumberFormat="1" applyFont="1" applyBorder="1" applyAlignment="1">
      <alignment horizontal="center" vertical="center" wrapText="1"/>
    </xf>
    <xf numFmtId="168" fontId="10" fillId="0" borderId="54" xfId="8" applyNumberFormat="1" applyFont="1" applyFill="1" applyBorder="1" applyAlignment="1">
      <alignment horizontal="center" vertical="center" wrapText="1" readingOrder="1"/>
    </xf>
    <xf numFmtId="3" fontId="10" fillId="0" borderId="54" xfId="0" applyNumberFormat="1" applyFont="1" applyBorder="1" applyAlignment="1">
      <alignment horizontal="center" vertical="center" wrapText="1" readingOrder="1"/>
    </xf>
    <xf numFmtId="168" fontId="6" fillId="0" borderId="0" xfId="0" applyNumberFormat="1" applyFont="1"/>
    <xf numFmtId="3" fontId="4" fillId="0" borderId="54" xfId="0" applyNumberFormat="1" applyFont="1" applyBorder="1" applyAlignment="1">
      <alignment horizontal="center" vertical="center"/>
    </xf>
    <xf numFmtId="8" fontId="0" fillId="0" borderId="0" xfId="0" applyNumberFormat="1"/>
    <xf numFmtId="0" fontId="10" fillId="0" borderId="20" xfId="0" applyFont="1" applyBorder="1" applyAlignment="1">
      <alignment horizontal="center" vertical="center" wrapText="1"/>
    </xf>
    <xf numFmtId="0" fontId="10" fillId="0" borderId="20" xfId="0" applyFont="1" applyBorder="1" applyAlignment="1">
      <alignment horizontal="left" vertical="top" wrapText="1"/>
    </xf>
    <xf numFmtId="3" fontId="10" fillId="0" borderId="20" xfId="0" applyNumberFormat="1" applyFont="1" applyBorder="1" applyAlignment="1">
      <alignment horizontal="center" vertical="center"/>
    </xf>
    <xf numFmtId="14" fontId="10" fillId="0" borderId="20" xfId="0" applyNumberFormat="1" applyFont="1" applyBorder="1" applyAlignment="1">
      <alignment horizontal="center" vertical="center" wrapText="1"/>
    </xf>
    <xf numFmtId="0" fontId="6" fillId="0" borderId="20" xfId="0" applyFont="1" applyBorder="1" applyAlignment="1">
      <alignment horizontal="left" vertical="center" wrapText="1"/>
    </xf>
    <xf numFmtId="0" fontId="6" fillId="0" borderId="20" xfId="9" applyFont="1" applyBorder="1" applyAlignment="1">
      <alignment horizontal="center" vertical="center" wrapText="1"/>
    </xf>
    <xf numFmtId="3" fontId="10" fillId="0" borderId="54" xfId="0" applyNumberFormat="1" applyFont="1" applyBorder="1" applyAlignment="1">
      <alignment horizontal="right" vertical="center" wrapText="1" readingOrder="1"/>
    </xf>
    <xf numFmtId="0" fontId="6" fillId="0" borderId="21" xfId="9" applyFont="1" applyBorder="1" applyAlignment="1">
      <alignment horizontal="center" vertical="center" wrapText="1"/>
    </xf>
    <xf numFmtId="3" fontId="10" fillId="0" borderId="1" xfId="0" applyNumberFormat="1" applyFont="1" applyBorder="1" applyAlignment="1">
      <alignment horizontal="right" vertical="center" wrapText="1" readingOrder="1"/>
    </xf>
    <xf numFmtId="0" fontId="6" fillId="0" borderId="54" xfId="0" applyFont="1" applyBorder="1" applyAlignment="1">
      <alignment horizontal="left" vertical="top" wrapText="1"/>
    </xf>
    <xf numFmtId="0" fontId="6" fillId="0" borderId="54" xfId="9" applyFont="1" applyBorder="1" applyAlignment="1">
      <alignment horizontal="center" vertical="center" wrapText="1"/>
    </xf>
    <xf numFmtId="14" fontId="6" fillId="0" borderId="54" xfId="0" applyNumberFormat="1" applyFont="1" applyBorder="1" applyAlignment="1">
      <alignment horizontal="center" vertical="center" wrapText="1"/>
    </xf>
    <xf numFmtId="0" fontId="32" fillId="0" borderId="0" xfId="0" applyFont="1" applyAlignment="1">
      <alignment horizontal="center" vertical="center" wrapText="1"/>
    </xf>
    <xf numFmtId="0" fontId="32" fillId="0" borderId="0" xfId="0" applyFont="1" applyAlignment="1">
      <alignment horizontal="left" vertical="center" wrapText="1"/>
    </xf>
    <xf numFmtId="0" fontId="32" fillId="0" borderId="0" xfId="9" applyFont="1" applyAlignment="1">
      <alignment horizontal="center" vertical="center" wrapText="1"/>
    </xf>
    <xf numFmtId="14" fontId="32" fillId="0" borderId="0" xfId="0" applyNumberFormat="1" applyFont="1" applyAlignment="1">
      <alignment horizontal="center" vertical="center" wrapText="1"/>
    </xf>
    <xf numFmtId="164" fontId="22" fillId="0" borderId="0" xfId="1" applyFont="1" applyFill="1" applyBorder="1" applyAlignment="1">
      <alignment horizontal="center" vertical="center"/>
    </xf>
    <xf numFmtId="14" fontId="32" fillId="0" borderId="0" xfId="0" applyNumberFormat="1" applyFont="1" applyAlignment="1">
      <alignment horizontal="center" vertical="center"/>
    </xf>
    <xf numFmtId="0" fontId="32" fillId="0" borderId="20" xfId="0" applyFont="1" applyBorder="1" applyAlignment="1">
      <alignment horizontal="center" vertical="center" wrapText="1"/>
    </xf>
    <xf numFmtId="164" fontId="22" fillId="0" borderId="0" xfId="2" applyFont="1" applyFill="1" applyBorder="1" applyAlignment="1">
      <alignment horizontal="center" vertical="center"/>
    </xf>
    <xf numFmtId="14" fontId="6" fillId="0" borderId="20" xfId="0" applyNumberFormat="1"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vertical="center" wrapText="1"/>
    </xf>
    <xf numFmtId="14" fontId="6" fillId="0" borderId="0" xfId="0" applyNumberFormat="1" applyFont="1" applyAlignment="1">
      <alignment horizontal="center" vertical="center" wrapText="1"/>
    </xf>
    <xf numFmtId="164" fontId="4" fillId="0" borderId="0" xfId="2" applyFont="1" applyFill="1" applyBorder="1" applyAlignment="1">
      <alignment horizontal="center" vertical="center"/>
    </xf>
    <xf numFmtId="164" fontId="4" fillId="0" borderId="0" xfId="1" applyFont="1" applyFill="1" applyBorder="1" applyAlignment="1">
      <alignment horizontal="center" vertical="center"/>
    </xf>
    <xf numFmtId="169" fontId="10" fillId="0" borderId="54" xfId="1" applyNumberFormat="1" applyFont="1" applyFill="1" applyBorder="1" applyAlignment="1">
      <alignment horizontal="center" vertical="center" wrapText="1" readingOrder="1"/>
    </xf>
    <xf numFmtId="0" fontId="10" fillId="0" borderId="20" xfId="9" applyFont="1" applyBorder="1" applyAlignment="1">
      <alignment horizontal="center" vertical="center" wrapText="1"/>
    </xf>
    <xf numFmtId="0" fontId="10" fillId="0" borderId="0" xfId="0" applyFont="1"/>
    <xf numFmtId="0" fontId="10" fillId="0" borderId="20" xfId="0" applyFont="1" applyBorder="1" applyAlignment="1">
      <alignment horizontal="left" vertical="center" wrapText="1"/>
    </xf>
    <xf numFmtId="14" fontId="34" fillId="0" borderId="0" xfId="0" applyNumberFormat="1" applyFont="1" applyAlignment="1">
      <alignment horizontal="center" vertical="center" wrapText="1"/>
    </xf>
    <xf numFmtId="164" fontId="34" fillId="0" borderId="0" xfId="1" applyFont="1" applyFill="1" applyBorder="1" applyAlignment="1">
      <alignment horizontal="center" vertical="center"/>
    </xf>
    <xf numFmtId="14" fontId="10" fillId="0" borderId="0" xfId="0" applyNumberFormat="1" applyFont="1" applyAlignment="1">
      <alignment horizontal="center" vertical="center" wrapText="1"/>
    </xf>
    <xf numFmtId="164" fontId="10" fillId="0" borderId="0" xfId="1" applyFont="1" applyFill="1" applyBorder="1" applyAlignment="1">
      <alignment horizontal="center" vertical="center"/>
    </xf>
    <xf numFmtId="0" fontId="6" fillId="0" borderId="54" xfId="0" applyFont="1" applyBorder="1" applyAlignment="1">
      <alignment horizontal="center" vertical="center" wrapText="1"/>
    </xf>
    <xf numFmtId="0" fontId="6" fillId="0" borderId="54" xfId="0" applyFont="1" applyBorder="1" applyAlignment="1">
      <alignment horizontal="left" vertical="center" wrapText="1"/>
    </xf>
    <xf numFmtId="0" fontId="6" fillId="0" borderId="0" xfId="0" applyFont="1" applyAlignment="1">
      <alignment horizontal="center" vertical="center"/>
    </xf>
    <xf numFmtId="0" fontId="10" fillId="0" borderId="54" xfId="9" applyFont="1" applyBorder="1" applyAlignment="1">
      <alignment horizontal="center" vertical="center" wrapText="1"/>
    </xf>
    <xf numFmtId="14" fontId="10" fillId="0" borderId="54" xfId="0" applyNumberFormat="1" applyFont="1" applyBorder="1" applyAlignment="1">
      <alignment horizontal="center" vertical="center" wrapText="1" readingOrder="1"/>
    </xf>
    <xf numFmtId="3" fontId="10" fillId="0" borderId="0" xfId="0" applyNumberFormat="1" applyFont="1"/>
    <xf numFmtId="0" fontId="10" fillId="0" borderId="0" xfId="0" applyFont="1" applyAlignment="1">
      <alignment wrapText="1"/>
    </xf>
    <xf numFmtId="3" fontId="34" fillId="0" borderId="0" xfId="0" applyNumberFormat="1" applyFont="1" applyAlignment="1">
      <alignment horizontal="right" vertical="center" wrapText="1" readingOrder="1"/>
    </xf>
    <xf numFmtId="14" fontId="34" fillId="0" borderId="0" xfId="9" applyNumberFormat="1" applyFont="1" applyAlignment="1">
      <alignment horizontal="center" vertical="center" wrapText="1"/>
    </xf>
    <xf numFmtId="0" fontId="34" fillId="0" borderId="0" xfId="0" applyFont="1" applyAlignment="1">
      <alignment horizontal="center" vertical="center" wrapText="1" readingOrder="1"/>
    </xf>
    <xf numFmtId="166" fontId="34" fillId="0" borderId="0" xfId="4" applyNumberFormat="1" applyFont="1" applyFill="1" applyBorder="1" applyAlignment="1">
      <alignment vertical="center" wrapText="1"/>
    </xf>
    <xf numFmtId="0" fontId="34" fillId="0" borderId="0" xfId="9" applyFont="1" applyAlignment="1">
      <alignment horizontal="center" vertical="center" wrapText="1"/>
    </xf>
    <xf numFmtId="169" fontId="4" fillId="0" borderId="20" xfId="1" applyNumberFormat="1" applyFont="1" applyFill="1" applyBorder="1" applyAlignment="1">
      <alignment horizontal="right" vertical="center"/>
    </xf>
    <xf numFmtId="14" fontId="4" fillId="0" borderId="20" xfId="0" applyNumberFormat="1" applyFont="1" applyBorder="1" applyAlignment="1">
      <alignment horizontal="left" vertical="center"/>
    </xf>
    <xf numFmtId="169" fontId="4" fillId="0" borderId="54" xfId="1" applyNumberFormat="1" applyFont="1" applyFill="1" applyBorder="1" applyAlignment="1">
      <alignment horizontal="right" vertical="center"/>
    </xf>
    <xf numFmtId="169" fontId="4" fillId="0" borderId="20" xfId="1" applyNumberFormat="1" applyFont="1" applyFill="1" applyBorder="1" applyAlignment="1">
      <alignment horizontal="center" vertical="center"/>
    </xf>
    <xf numFmtId="169" fontId="4" fillId="0" borderId="54" xfId="2" applyNumberFormat="1" applyFont="1" applyFill="1" applyBorder="1" applyAlignment="1">
      <alignment horizontal="center" vertical="center"/>
    </xf>
    <xf numFmtId="0" fontId="6" fillId="0" borderId="0" xfId="0" applyFont="1" applyAlignment="1">
      <alignment vertical="center"/>
    </xf>
    <xf numFmtId="14" fontId="4" fillId="0" borderId="20" xfId="0" applyNumberFormat="1" applyFont="1" applyBorder="1" applyAlignment="1">
      <alignment horizontal="center" vertical="center"/>
    </xf>
    <xf numFmtId="3" fontId="4" fillId="0" borderId="1" xfId="0" applyNumberFormat="1" applyFont="1" applyBorder="1" applyAlignment="1">
      <alignment horizontal="center" vertical="center"/>
    </xf>
    <xf numFmtId="0" fontId="6" fillId="0" borderId="13" xfId="9" applyFont="1" applyBorder="1" applyAlignment="1">
      <alignment horizontal="center" vertical="center" wrapText="1"/>
    </xf>
    <xf numFmtId="14" fontId="6" fillId="0" borderId="20" xfId="0" applyNumberFormat="1" applyFont="1" applyBorder="1" applyAlignment="1">
      <alignment horizontal="left" vertical="center" wrapText="1"/>
    </xf>
    <xf numFmtId="3" fontId="6" fillId="0" borderId="0" xfId="0" applyNumberFormat="1" applyFont="1" applyAlignment="1">
      <alignment vertical="center"/>
    </xf>
    <xf numFmtId="0" fontId="6" fillId="0" borderId="0" xfId="0" applyFont="1" applyAlignment="1">
      <alignment vertical="center" wrapText="1"/>
    </xf>
    <xf numFmtId="169" fontId="4" fillId="0" borderId="26" xfId="1" applyNumberFormat="1" applyFont="1" applyFill="1" applyBorder="1" applyAlignment="1">
      <alignment horizontal="center" vertical="center"/>
    </xf>
    <xf numFmtId="169" fontId="4" fillId="0" borderId="55" xfId="1" applyNumberFormat="1" applyFont="1" applyFill="1" applyBorder="1" applyAlignment="1">
      <alignment horizontal="center" vertical="center"/>
    </xf>
    <xf numFmtId="4" fontId="22" fillId="0" borderId="0" xfId="0" applyNumberFormat="1" applyFont="1" applyAlignment="1">
      <alignment horizontal="center" vertical="center"/>
    </xf>
    <xf numFmtId="3" fontId="10" fillId="0" borderId="21" xfId="0" applyNumberFormat="1" applyFont="1" applyBorder="1" applyAlignment="1">
      <alignment vertical="center" wrapText="1" readingOrder="1"/>
    </xf>
    <xf numFmtId="169" fontId="4" fillId="0" borderId="54" xfId="1" applyNumberFormat="1" applyFont="1" applyFill="1" applyBorder="1" applyAlignment="1">
      <alignment vertical="center"/>
    </xf>
    <xf numFmtId="169" fontId="6" fillId="0" borderId="54" xfId="0" applyNumberFormat="1" applyFont="1" applyBorder="1"/>
    <xf numFmtId="169" fontId="6" fillId="3" borderId="54" xfId="0" applyNumberFormat="1" applyFont="1" applyFill="1" applyBorder="1"/>
    <xf numFmtId="169" fontId="16" fillId="2" borderId="54" xfId="2" applyNumberFormat="1" applyFont="1" applyFill="1" applyBorder="1" applyAlignment="1">
      <alignment horizontal="left" vertical="center" wrapText="1" readingOrder="1"/>
    </xf>
    <xf numFmtId="168" fontId="6" fillId="0" borderId="54" xfId="2" applyNumberFormat="1" applyFont="1" applyBorder="1" applyAlignment="1">
      <alignment vertical="center"/>
    </xf>
    <xf numFmtId="168" fontId="6" fillId="3" borderId="54" xfId="2" applyNumberFormat="1" applyFont="1" applyFill="1" applyBorder="1" applyAlignment="1">
      <alignment vertical="center"/>
    </xf>
    <xf numFmtId="3" fontId="16" fillId="2" borderId="54" xfId="2" applyNumberFormat="1" applyFont="1" applyFill="1" applyBorder="1" applyAlignment="1">
      <alignment horizontal="center" vertical="center" wrapText="1" readingOrder="1"/>
    </xf>
    <xf numFmtId="3" fontId="16" fillId="2" borderId="54" xfId="2" applyNumberFormat="1" applyFont="1" applyFill="1" applyBorder="1" applyAlignment="1">
      <alignment horizontal="center" wrapText="1" readingOrder="1"/>
    </xf>
    <xf numFmtId="169" fontId="10" fillId="0" borderId="20" xfId="1" applyNumberFormat="1" applyFont="1" applyBorder="1" applyAlignment="1">
      <alignment horizontal="center" vertical="center" wrapText="1" readingOrder="1"/>
    </xf>
    <xf numFmtId="169" fontId="4" fillId="3" borderId="54" xfId="2" applyNumberFormat="1" applyFont="1" applyFill="1" applyBorder="1" applyAlignment="1">
      <alignment horizontal="center" vertical="center"/>
    </xf>
    <xf numFmtId="14" fontId="6" fillId="0" borderId="54" xfId="0" applyNumberFormat="1" applyFont="1" applyBorder="1" applyAlignment="1">
      <alignment horizontal="center" vertical="center"/>
    </xf>
    <xf numFmtId="169" fontId="4" fillId="8" borderId="54" xfId="1" applyNumberFormat="1" applyFont="1" applyFill="1" applyBorder="1" applyAlignment="1">
      <alignment horizontal="center" vertical="center" wrapText="1"/>
    </xf>
    <xf numFmtId="3" fontId="4" fillId="3" borderId="54" xfId="1" applyNumberFormat="1" applyFont="1" applyFill="1" applyBorder="1" applyAlignment="1">
      <alignment horizontal="right" vertical="center" wrapText="1"/>
    </xf>
    <xf numFmtId="9" fontId="29" fillId="0" borderId="0" xfId="5" applyFont="1"/>
    <xf numFmtId="9" fontId="6" fillId="3" borderId="20" xfId="5" applyFont="1" applyFill="1" applyBorder="1" applyAlignment="1">
      <alignment horizontal="center" vertical="center" wrapText="1"/>
    </xf>
    <xf numFmtId="9" fontId="6" fillId="0" borderId="21" xfId="5" applyFont="1" applyFill="1" applyBorder="1" applyAlignment="1">
      <alignment horizontal="center" vertical="center" wrapText="1"/>
    </xf>
    <xf numFmtId="9" fontId="4" fillId="3" borderId="20" xfId="5" applyFont="1" applyFill="1" applyBorder="1" applyAlignment="1">
      <alignment horizontal="center" vertical="center" wrapText="1"/>
    </xf>
    <xf numFmtId="0" fontId="2" fillId="2" borderId="20" xfId="0" applyFont="1" applyFill="1" applyBorder="1" applyAlignment="1">
      <alignment vertical="center" wrapText="1"/>
    </xf>
    <xf numFmtId="169" fontId="4" fillId="8" borderId="54" xfId="2" applyNumberFormat="1" applyFont="1" applyFill="1" applyBorder="1" applyAlignment="1">
      <alignment horizontal="center" vertical="center"/>
    </xf>
    <xf numFmtId="0" fontId="6" fillId="3" borderId="54" xfId="0" applyFont="1" applyFill="1" applyBorder="1" applyAlignment="1">
      <alignment vertical="center" wrapText="1"/>
    </xf>
    <xf numFmtId="169" fontId="4" fillId="8" borderId="54" xfId="2" applyNumberFormat="1" applyFont="1" applyFill="1" applyBorder="1" applyAlignment="1">
      <alignment vertical="center"/>
    </xf>
    <xf numFmtId="169" fontId="4" fillId="8" borderId="54" xfId="1" applyNumberFormat="1" applyFont="1" applyFill="1" applyBorder="1" applyAlignment="1">
      <alignment horizontal="right" vertical="center"/>
    </xf>
    <xf numFmtId="169" fontId="4" fillId="8" borderId="54" xfId="0" applyNumberFormat="1" applyFont="1" applyFill="1" applyBorder="1" applyAlignment="1">
      <alignment horizontal="center" vertical="center"/>
    </xf>
    <xf numFmtId="169" fontId="4" fillId="8" borderId="54" xfId="2" applyNumberFormat="1" applyFont="1" applyFill="1" applyBorder="1" applyAlignment="1">
      <alignment horizontal="right" vertical="center"/>
    </xf>
    <xf numFmtId="14" fontId="4" fillId="8" borderId="54" xfId="0" applyNumberFormat="1" applyFont="1" applyFill="1" applyBorder="1" applyAlignment="1">
      <alignment horizontal="center" vertical="center"/>
    </xf>
    <xf numFmtId="0" fontId="10" fillId="3" borderId="54" xfId="9" applyFont="1" applyFill="1" applyBorder="1" applyAlignment="1">
      <alignment horizontal="center" vertical="center" wrapText="1"/>
    </xf>
    <xf numFmtId="169" fontId="10" fillId="8" borderId="54" xfId="2" applyNumberFormat="1" applyFont="1" applyFill="1" applyBorder="1" applyAlignment="1">
      <alignment horizontal="center" vertical="center"/>
    </xf>
    <xf numFmtId="0" fontId="10" fillId="3" borderId="54" xfId="0" applyFont="1" applyFill="1" applyBorder="1" applyAlignment="1">
      <alignment horizontal="center" vertical="center" wrapText="1"/>
    </xf>
    <xf numFmtId="0" fontId="10" fillId="3" borderId="54" xfId="0" applyFont="1" applyFill="1" applyBorder="1" applyAlignment="1">
      <alignment horizontal="left" vertical="center" wrapText="1"/>
    </xf>
    <xf numFmtId="169" fontId="17" fillId="8" borderId="54" xfId="2" applyNumberFormat="1" applyFont="1" applyFill="1" applyBorder="1" applyAlignment="1">
      <alignment horizontal="right" vertical="center"/>
    </xf>
    <xf numFmtId="167" fontId="5" fillId="0" borderId="54" xfId="0" applyNumberFormat="1" applyFont="1" applyBorder="1" applyAlignment="1">
      <alignment vertical="center" wrapText="1"/>
    </xf>
    <xf numFmtId="3" fontId="10" fillId="3" borderId="21" xfId="2" applyNumberFormat="1" applyFont="1" applyFill="1" applyBorder="1" applyAlignment="1">
      <alignment horizontal="center" vertical="center" wrapText="1" readingOrder="1"/>
    </xf>
    <xf numFmtId="14" fontId="10" fillId="6" borderId="21" xfId="0" applyNumberFormat="1" applyFont="1" applyFill="1" applyBorder="1" applyAlignment="1">
      <alignment horizontal="center" vertical="center" wrapText="1" readingOrder="1"/>
    </xf>
    <xf numFmtId="166" fontId="10" fillId="7" borderId="21" xfId="4" applyNumberFormat="1" applyFont="1" applyFill="1" applyBorder="1" applyAlignment="1">
      <alignment horizontal="center" vertical="center" wrapText="1"/>
    </xf>
    <xf numFmtId="14" fontId="10" fillId="3" borderId="57" xfId="0" applyNumberFormat="1" applyFont="1" applyFill="1" applyBorder="1" applyAlignment="1">
      <alignment horizontal="center" vertical="center" wrapText="1" readingOrder="1"/>
    </xf>
    <xf numFmtId="3" fontId="10" fillId="6" borderId="21" xfId="0" applyNumberFormat="1" applyFont="1" applyFill="1" applyBorder="1" applyAlignment="1">
      <alignment horizontal="center" vertical="center" wrapText="1" readingOrder="1"/>
    </xf>
    <xf numFmtId="169" fontId="2" fillId="2" borderId="20" xfId="1" applyNumberFormat="1" applyFont="1" applyFill="1" applyBorder="1" applyAlignment="1">
      <alignment horizontal="center" vertical="center" wrapText="1"/>
    </xf>
    <xf numFmtId="0" fontId="11" fillId="3" borderId="21" xfId="0" applyFont="1" applyFill="1" applyBorder="1" applyAlignment="1">
      <alignment horizontal="center" vertical="center"/>
    </xf>
    <xf numFmtId="3" fontId="10" fillId="6" borderId="54" xfId="0" applyNumberFormat="1" applyFont="1" applyFill="1" applyBorder="1" applyAlignment="1">
      <alignment horizontal="center" vertical="center" wrapText="1" readingOrder="1"/>
    </xf>
    <xf numFmtId="3" fontId="10" fillId="3" borderId="54" xfId="0" applyNumberFormat="1" applyFont="1" applyFill="1" applyBorder="1" applyAlignment="1">
      <alignment horizontal="center" vertical="center"/>
    </xf>
    <xf numFmtId="0" fontId="11" fillId="0" borderId="20" xfId="0" applyFont="1" applyBorder="1" applyAlignment="1">
      <alignment horizontal="center" vertical="center"/>
    </xf>
    <xf numFmtId="166" fontId="10" fillId="7" borderId="54" xfId="4" applyNumberFormat="1" applyFont="1" applyFill="1" applyBorder="1" applyAlignment="1">
      <alignment horizontal="center" vertical="center" wrapText="1"/>
    </xf>
    <xf numFmtId="0" fontId="10" fillId="3" borderId="54" xfId="0" applyFont="1" applyFill="1" applyBorder="1" applyAlignment="1">
      <alignment horizontal="center" vertical="center"/>
    </xf>
    <xf numFmtId="3" fontId="10" fillId="3" borderId="54" xfId="0" applyNumberFormat="1" applyFont="1" applyFill="1" applyBorder="1" applyAlignment="1">
      <alignment vertical="center"/>
    </xf>
    <xf numFmtId="171" fontId="10" fillId="3" borderId="54" xfId="7" applyNumberFormat="1" applyFont="1" applyFill="1" applyBorder="1" applyAlignment="1">
      <alignment horizontal="right" vertical="center" wrapText="1" readingOrder="1"/>
    </xf>
    <xf numFmtId="167" fontId="5" fillId="3" borderId="54" xfId="7" applyNumberFormat="1" applyFont="1" applyFill="1" applyBorder="1" applyAlignment="1">
      <alignment horizontal="center" vertical="center"/>
    </xf>
    <xf numFmtId="168" fontId="6" fillId="3" borderId="54" xfId="1" applyNumberFormat="1" applyFont="1" applyFill="1" applyBorder="1" applyAlignment="1">
      <alignment vertical="center"/>
    </xf>
    <xf numFmtId="169" fontId="4" fillId="3" borderId="54" xfId="1" applyNumberFormat="1" applyFont="1" applyFill="1" applyBorder="1" applyAlignment="1">
      <alignment horizontal="center" vertical="center"/>
    </xf>
    <xf numFmtId="3" fontId="6" fillId="3" borderId="54" xfId="5" applyNumberFormat="1" applyFont="1" applyFill="1" applyBorder="1" applyAlignment="1">
      <alignment horizontal="right" vertical="center"/>
    </xf>
    <xf numFmtId="3" fontId="6" fillId="3" borderId="54" xfId="14" applyNumberFormat="1" applyFont="1" applyFill="1" applyBorder="1" applyAlignment="1">
      <alignment vertical="center"/>
    </xf>
    <xf numFmtId="169" fontId="6" fillId="3" borderId="20" xfId="5" applyNumberFormat="1" applyFont="1" applyFill="1" applyBorder="1" applyAlignment="1">
      <alignment horizontal="center" vertical="center" wrapText="1"/>
    </xf>
    <xf numFmtId="49" fontId="4" fillId="0" borderId="54" xfId="3" applyNumberFormat="1" applyFont="1" applyBorder="1" applyAlignment="1">
      <alignment horizontal="center" vertical="center" wrapText="1"/>
    </xf>
    <xf numFmtId="0" fontId="5" fillId="3" borderId="54" xfId="0" applyFont="1" applyFill="1" applyBorder="1" applyAlignment="1">
      <alignment horizontal="left" vertical="center" wrapText="1" readingOrder="1"/>
    </xf>
    <xf numFmtId="3" fontId="6" fillId="3" borderId="54" xfId="0" applyNumberFormat="1" applyFont="1" applyFill="1" applyBorder="1" applyAlignment="1">
      <alignment vertical="center"/>
    </xf>
    <xf numFmtId="3" fontId="6" fillId="0" borderId="54" xfId="0" applyNumberFormat="1" applyFont="1" applyBorder="1" applyAlignment="1">
      <alignment vertical="center"/>
    </xf>
    <xf numFmtId="0" fontId="5" fillId="0" borderId="54" xfId="0" applyFont="1" applyBorder="1" applyAlignment="1">
      <alignment horizontal="left" vertical="center" wrapText="1" readingOrder="1"/>
    </xf>
    <xf numFmtId="0" fontId="11" fillId="40" borderId="54" xfId="0" applyFont="1" applyFill="1" applyBorder="1" applyAlignment="1">
      <alignment horizontal="center" vertical="center"/>
    </xf>
    <xf numFmtId="0" fontId="11" fillId="40" borderId="54" xfId="0" applyFont="1" applyFill="1" applyBorder="1" applyAlignment="1">
      <alignment horizontal="center" vertical="center" wrapText="1"/>
    </xf>
    <xf numFmtId="169" fontId="62" fillId="0" borderId="0" xfId="1" applyNumberFormat="1" applyFont="1" applyAlignment="1">
      <alignment horizontal="right"/>
    </xf>
    <xf numFmtId="3" fontId="10" fillId="6" borderId="54" xfId="7" applyNumberFormat="1" applyFont="1" applyFill="1" applyBorder="1" applyAlignment="1">
      <alignment horizontal="center" vertical="center" wrapText="1" readingOrder="1"/>
    </xf>
    <xf numFmtId="167" fontId="2" fillId="2" borderId="54" xfId="0" applyNumberFormat="1" applyFont="1" applyFill="1" applyBorder="1" applyAlignment="1">
      <alignment horizontal="center" vertical="top" wrapText="1"/>
    </xf>
    <xf numFmtId="0" fontId="2" fillId="2" borderId="21" xfId="0" applyFont="1" applyFill="1" applyBorder="1" applyAlignment="1">
      <alignment horizontal="center" vertical="center" wrapText="1"/>
    </xf>
    <xf numFmtId="164" fontId="2" fillId="2" borderId="54" xfId="1" applyFont="1" applyFill="1" applyBorder="1" applyAlignment="1">
      <alignment horizontal="center" vertical="center" wrapText="1"/>
    </xf>
    <xf numFmtId="173" fontId="2" fillId="2" borderId="54" xfId="1" applyNumberFormat="1" applyFont="1" applyFill="1" applyBorder="1" applyAlignment="1">
      <alignment horizontal="center" vertical="center" wrapText="1"/>
    </xf>
    <xf numFmtId="0" fontId="2" fillId="2" borderId="54" xfId="0" applyFont="1" applyFill="1" applyBorder="1" applyAlignment="1">
      <alignment horizontal="center" vertical="center" wrapText="1"/>
    </xf>
    <xf numFmtId="0" fontId="61" fillId="41" borderId="54" xfId="0" applyFont="1" applyFill="1" applyBorder="1" applyAlignment="1">
      <alignment horizontal="center" vertical="center" wrapText="1" readingOrder="1"/>
    </xf>
    <xf numFmtId="3" fontId="65" fillId="0" borderId="54" xfId="0" applyNumberFormat="1" applyFont="1" applyBorder="1" applyAlignment="1">
      <alignment horizontal="center" vertical="center" wrapText="1" readingOrder="1"/>
    </xf>
    <xf numFmtId="9" fontId="65" fillId="0" borderId="54" xfId="5" applyFont="1" applyBorder="1" applyAlignment="1">
      <alignment horizontal="center" vertical="center" wrapText="1" readingOrder="1"/>
    </xf>
    <xf numFmtId="3" fontId="61" fillId="0" borderId="54" xfId="0" applyNumberFormat="1" applyFont="1" applyBorder="1" applyAlignment="1">
      <alignment horizontal="center" vertical="center" wrapText="1" readingOrder="1"/>
    </xf>
    <xf numFmtId="9" fontId="61" fillId="0" borderId="54" xfId="0" applyNumberFormat="1" applyFont="1" applyBorder="1" applyAlignment="1">
      <alignment horizontal="center" vertical="center" wrapText="1" readingOrder="1"/>
    </xf>
    <xf numFmtId="169" fontId="2" fillId="2" borderId="54" xfId="1" applyNumberFormat="1" applyFont="1" applyFill="1" applyBorder="1" applyAlignment="1">
      <alignment horizontal="center" vertical="center" wrapText="1"/>
    </xf>
    <xf numFmtId="3" fontId="6" fillId="3" borderId="54" xfId="14" applyNumberFormat="1" applyFont="1" applyFill="1" applyBorder="1" applyAlignment="1">
      <alignment horizontal="right" vertical="center"/>
    </xf>
    <xf numFmtId="3" fontId="6" fillId="3" borderId="54" xfId="1" applyNumberFormat="1" applyFont="1" applyFill="1" applyBorder="1" applyAlignment="1">
      <alignment horizontal="right" vertical="center"/>
    </xf>
    <xf numFmtId="164" fontId="2" fillId="2" borderId="54" xfId="2" applyFont="1" applyFill="1" applyBorder="1" applyAlignment="1">
      <alignment horizontal="center" vertical="center" wrapText="1"/>
    </xf>
    <xf numFmtId="9" fontId="6" fillId="0" borderId="54" xfId="5" applyFont="1" applyFill="1" applyBorder="1" applyAlignment="1">
      <alignment horizontal="center" vertical="center"/>
    </xf>
    <xf numFmtId="169" fontId="6" fillId="0" borderId="54" xfId="1" applyNumberFormat="1" applyFont="1" applyFill="1" applyBorder="1" applyAlignment="1">
      <alignment horizontal="right" vertical="center"/>
    </xf>
    <xf numFmtId="172" fontId="6" fillId="0" borderId="54" xfId="5" applyNumberFormat="1" applyFont="1" applyFill="1" applyBorder="1" applyAlignment="1">
      <alignment horizontal="center" vertical="center"/>
    </xf>
    <xf numFmtId="9" fontId="15" fillId="2" borderId="54" xfId="5" applyFont="1" applyFill="1" applyBorder="1" applyAlignment="1">
      <alignment horizontal="center" vertical="center"/>
    </xf>
    <xf numFmtId="7" fontId="17" fillId="3" borderId="54" xfId="3" applyNumberFormat="1" applyFont="1" applyFill="1" applyBorder="1" applyAlignment="1">
      <alignment horizontal="center" vertical="center" wrapText="1"/>
    </xf>
    <xf numFmtId="3" fontId="6" fillId="3" borderId="54" xfId="1" applyNumberFormat="1" applyFont="1" applyFill="1" applyBorder="1" applyAlignment="1">
      <alignment vertical="center"/>
    </xf>
    <xf numFmtId="3" fontId="6" fillId="3" borderId="54" xfId="0" applyNumberFormat="1" applyFont="1" applyFill="1" applyBorder="1" applyAlignment="1">
      <alignment vertical="center" wrapText="1"/>
    </xf>
    <xf numFmtId="169" fontId="6" fillId="3" borderId="54" xfId="1" applyNumberFormat="1" applyFont="1" applyFill="1" applyBorder="1" applyAlignment="1">
      <alignment horizontal="center" vertical="center"/>
    </xf>
    <xf numFmtId="171" fontId="10" fillId="3" borderId="54" xfId="2" applyNumberFormat="1" applyFont="1" applyFill="1" applyBorder="1" applyAlignment="1">
      <alignment horizontal="right" vertical="center" wrapText="1" readingOrder="1"/>
    </xf>
    <xf numFmtId="3" fontId="10" fillId="3" borderId="54" xfId="2" applyNumberFormat="1" applyFont="1" applyFill="1" applyBorder="1" applyAlignment="1">
      <alignment horizontal="right" vertical="center" wrapText="1" readingOrder="1"/>
    </xf>
    <xf numFmtId="0" fontId="28" fillId="3" borderId="0" xfId="0" applyFont="1" applyFill="1" applyAlignment="1">
      <alignment horizontal="left" vertical="center" wrapText="1"/>
    </xf>
    <xf numFmtId="169" fontId="62" fillId="3" borderId="0" xfId="0" applyNumberFormat="1" applyFont="1" applyFill="1"/>
    <xf numFmtId="167" fontId="0" fillId="3" borderId="0" xfId="0" applyNumberFormat="1" applyFill="1"/>
    <xf numFmtId="167" fontId="10" fillId="3" borderId="1" xfId="7" applyNumberFormat="1" applyFont="1" applyFill="1" applyBorder="1" applyAlignment="1">
      <alignment horizontal="right" vertical="center"/>
    </xf>
    <xf numFmtId="3" fontId="10" fillId="3" borderId="20" xfId="9" applyNumberFormat="1" applyFont="1" applyFill="1" applyBorder="1" applyAlignment="1">
      <alignment horizontal="center" vertical="center" wrapText="1" readingOrder="1"/>
    </xf>
    <xf numFmtId="169" fontId="10" fillId="3" borderId="20" xfId="59" applyNumberFormat="1" applyFont="1" applyFill="1" applyBorder="1" applyAlignment="1">
      <alignment horizontal="right" vertical="center" wrapText="1" readingOrder="1"/>
    </xf>
    <xf numFmtId="3" fontId="10" fillId="3" borderId="20" xfId="9" applyNumberFormat="1" applyFont="1" applyFill="1" applyBorder="1" applyAlignment="1">
      <alignment horizontal="right" vertical="center" wrapText="1" readingOrder="1"/>
    </xf>
    <xf numFmtId="0" fontId="54" fillId="3" borderId="0" xfId="0" applyFont="1" applyFill="1" applyAlignment="1">
      <alignment horizontal="left" vertical="center" wrapText="1"/>
    </xf>
    <xf numFmtId="0" fontId="29" fillId="0" borderId="0" xfId="0" applyFont="1" applyAlignment="1">
      <alignment horizontal="center"/>
    </xf>
    <xf numFmtId="0" fontId="10" fillId="3" borderId="20" xfId="9" applyFont="1" applyFill="1" applyBorder="1" applyAlignment="1">
      <alignment horizontal="center" vertical="center"/>
    </xf>
    <xf numFmtId="3" fontId="10" fillId="3" borderId="6" xfId="0" applyNumberFormat="1" applyFont="1" applyFill="1" applyBorder="1" applyAlignment="1">
      <alignment horizontal="right" vertical="center" wrapText="1" readingOrder="1"/>
    </xf>
    <xf numFmtId="3" fontId="10" fillId="3" borderId="20" xfId="9" applyNumberFormat="1" applyFont="1" applyFill="1" applyBorder="1" applyAlignment="1">
      <alignment horizontal="center" vertical="center"/>
    </xf>
    <xf numFmtId="167" fontId="10" fillId="3" borderId="54" xfId="2" applyNumberFormat="1" applyFont="1" applyFill="1" applyBorder="1" applyAlignment="1">
      <alignment horizontal="right" vertical="center" wrapText="1" readingOrder="1"/>
    </xf>
    <xf numFmtId="3" fontId="4" fillId="3" borderId="54" xfId="0" applyNumberFormat="1" applyFont="1" applyFill="1" applyBorder="1" applyAlignment="1">
      <alignment horizontal="center" vertical="center"/>
    </xf>
    <xf numFmtId="0" fontId="32" fillId="3" borderId="0" xfId="9" applyFont="1" applyFill="1" applyAlignment="1">
      <alignment horizontal="center" vertical="center" wrapText="1"/>
    </xf>
    <xf numFmtId="164" fontId="22" fillId="3" borderId="0" xfId="2" applyFont="1" applyFill="1" applyBorder="1" applyAlignment="1">
      <alignment horizontal="center" vertical="center"/>
    </xf>
    <xf numFmtId="0" fontId="6" fillId="3" borderId="0" xfId="0" applyFont="1" applyFill="1" applyAlignment="1">
      <alignment vertical="center"/>
    </xf>
    <xf numFmtId="164" fontId="4" fillId="3" borderId="0" xfId="2" applyFont="1" applyFill="1" applyBorder="1" applyAlignment="1">
      <alignment horizontal="center" vertical="center"/>
    </xf>
    <xf numFmtId="164" fontId="4" fillId="3" borderId="0" xfId="1" applyFont="1" applyFill="1" applyBorder="1" applyAlignment="1">
      <alignment horizontal="center" vertical="center"/>
    </xf>
    <xf numFmtId="8" fontId="0" fillId="3" borderId="0" xfId="0" applyNumberFormat="1" applyFill="1"/>
    <xf numFmtId="3" fontId="6" fillId="3" borderId="21" xfId="1" applyNumberFormat="1" applyFont="1" applyFill="1" applyBorder="1" applyAlignment="1">
      <alignment horizontal="right" vertical="center" wrapText="1"/>
    </xf>
    <xf numFmtId="3" fontId="6" fillId="3" borderId="13" xfId="1" applyNumberFormat="1" applyFont="1" applyFill="1" applyBorder="1" applyAlignment="1">
      <alignment horizontal="right" vertical="center" wrapText="1"/>
    </xf>
    <xf numFmtId="3" fontId="6" fillId="3" borderId="21" xfId="0" applyNumberFormat="1" applyFont="1" applyFill="1" applyBorder="1" applyAlignment="1">
      <alignment horizontal="right" vertical="center" wrapText="1"/>
    </xf>
    <xf numFmtId="3" fontId="4" fillId="3" borderId="54" xfId="1" applyNumberFormat="1" applyFont="1" applyFill="1" applyBorder="1" applyAlignment="1">
      <alignment vertical="center" wrapText="1"/>
    </xf>
    <xf numFmtId="3" fontId="10" fillId="0" borderId="20" xfId="0" applyNumberFormat="1" applyFont="1" applyBorder="1" applyAlignment="1">
      <alignment horizontal="right" vertical="center" wrapText="1"/>
    </xf>
    <xf numFmtId="3" fontId="6" fillId="0" borderId="20" xfId="0" applyNumberFormat="1" applyFont="1" applyBorder="1" applyAlignment="1">
      <alignment horizontal="right" vertical="center" wrapText="1"/>
    </xf>
    <xf numFmtId="3" fontId="6" fillId="0" borderId="54" xfId="1" applyNumberFormat="1" applyFont="1" applyFill="1" applyBorder="1" applyAlignment="1">
      <alignment horizontal="right" vertical="center" wrapText="1"/>
    </xf>
    <xf numFmtId="3" fontId="4" fillId="0" borderId="54" xfId="1" applyNumberFormat="1" applyFont="1" applyFill="1" applyBorder="1" applyAlignment="1">
      <alignment horizontal="right" vertical="center" wrapText="1"/>
    </xf>
    <xf numFmtId="3" fontId="5" fillId="0" borderId="54" xfId="1" applyNumberFormat="1" applyFont="1" applyFill="1" applyBorder="1" applyAlignment="1">
      <alignment horizontal="right" vertical="center" wrapText="1"/>
    </xf>
    <xf numFmtId="3" fontId="4" fillId="3" borderId="20" xfId="1" applyNumberFormat="1" applyFont="1" applyFill="1" applyBorder="1" applyAlignment="1">
      <alignment vertical="center" wrapText="1"/>
    </xf>
    <xf numFmtId="3" fontId="5" fillId="3" borderId="54" xfId="0" applyNumberFormat="1" applyFont="1" applyFill="1" applyBorder="1" applyAlignment="1">
      <alignment horizontal="right" vertical="center" wrapText="1"/>
    </xf>
    <xf numFmtId="3" fontId="6" fillId="0" borderId="21" xfId="1" applyNumberFormat="1" applyFont="1" applyFill="1" applyBorder="1" applyAlignment="1">
      <alignment horizontal="right" vertical="center" wrapText="1"/>
    </xf>
    <xf numFmtId="3" fontId="10" fillId="0" borderId="54" xfId="1" applyNumberFormat="1" applyFont="1" applyFill="1" applyBorder="1" applyAlignment="1">
      <alignment horizontal="right" vertical="center" wrapText="1"/>
    </xf>
    <xf numFmtId="3" fontId="4" fillId="0" borderId="13" xfId="1" applyNumberFormat="1" applyFont="1" applyFill="1" applyBorder="1" applyAlignment="1">
      <alignment horizontal="right" vertical="center" wrapText="1"/>
    </xf>
    <xf numFmtId="3" fontId="5" fillId="3" borderId="54" xfId="0" applyNumberFormat="1" applyFont="1" applyFill="1" applyBorder="1" applyAlignment="1">
      <alignment vertical="center" wrapText="1"/>
    </xf>
    <xf numFmtId="3" fontId="6" fillId="0" borderId="20" xfId="0" applyNumberFormat="1" applyFont="1" applyBorder="1" applyAlignment="1">
      <alignment vertical="center"/>
    </xf>
    <xf numFmtId="3" fontId="4" fillId="3" borderId="13" xfId="2" applyNumberFormat="1" applyFont="1" applyFill="1" applyBorder="1" applyAlignment="1">
      <alignment horizontal="right" vertical="center" wrapText="1"/>
    </xf>
    <xf numFmtId="171" fontId="6" fillId="3" borderId="54" xfId="5" applyNumberFormat="1" applyFont="1" applyFill="1" applyBorder="1" applyAlignment="1">
      <alignment horizontal="right" vertical="center"/>
    </xf>
    <xf numFmtId="171" fontId="6" fillId="3" borderId="54" xfId="1" applyNumberFormat="1" applyFont="1" applyFill="1" applyBorder="1" applyAlignment="1">
      <alignment horizontal="right" vertical="center"/>
    </xf>
    <xf numFmtId="171" fontId="6" fillId="3" borderId="54" xfId="14" applyNumberFormat="1" applyFont="1" applyFill="1" applyBorder="1" applyAlignment="1">
      <alignment horizontal="right" vertical="center"/>
    </xf>
    <xf numFmtId="171" fontId="15" fillId="2" borderId="20" xfId="1" applyNumberFormat="1" applyFont="1" applyFill="1" applyBorder="1" applyAlignment="1">
      <alignment horizontal="right" vertical="center"/>
    </xf>
    <xf numFmtId="3" fontId="6" fillId="3" borderId="54" xfId="0" applyNumberFormat="1" applyFont="1" applyFill="1" applyBorder="1" applyAlignment="1">
      <alignment horizontal="right" vertical="center" wrapText="1"/>
    </xf>
    <xf numFmtId="3" fontId="6" fillId="0" borderId="54" xfId="0" applyNumberFormat="1" applyFont="1" applyBorder="1" applyAlignment="1">
      <alignment horizontal="right" vertical="center" wrapText="1"/>
    </xf>
    <xf numFmtId="3" fontId="4" fillId="3" borderId="54" xfId="2" applyNumberFormat="1" applyFont="1" applyFill="1" applyBorder="1" applyAlignment="1">
      <alignment horizontal="right" vertical="center" wrapText="1"/>
    </xf>
    <xf numFmtId="3" fontId="5" fillId="3" borderId="54" xfId="2" applyNumberFormat="1" applyFont="1" applyFill="1" applyBorder="1" applyAlignment="1">
      <alignment horizontal="right" vertical="center" wrapText="1"/>
    </xf>
    <xf numFmtId="3" fontId="4" fillId="3" borderId="20" xfId="1" applyNumberFormat="1" applyFont="1" applyFill="1" applyBorder="1" applyAlignment="1">
      <alignment horizontal="right" vertical="center" wrapText="1"/>
    </xf>
    <xf numFmtId="3" fontId="6" fillId="0" borderId="20" xfId="1" applyNumberFormat="1" applyFont="1" applyBorder="1" applyAlignment="1">
      <alignment horizontal="right" vertical="center" wrapText="1"/>
    </xf>
    <xf numFmtId="3" fontId="10" fillId="3" borderId="54" xfId="1" applyNumberFormat="1" applyFont="1" applyFill="1" applyBorder="1" applyAlignment="1">
      <alignment horizontal="right" vertical="center"/>
    </xf>
    <xf numFmtId="3" fontId="6" fillId="0" borderId="21" xfId="1" applyNumberFormat="1" applyFont="1" applyBorder="1" applyAlignment="1">
      <alignment horizontal="right" vertical="center" wrapText="1"/>
    </xf>
    <xf numFmtId="3" fontId="5" fillId="3" borderId="20" xfId="2" applyNumberFormat="1" applyFont="1" applyFill="1" applyBorder="1" applyAlignment="1">
      <alignment horizontal="right" vertical="center" wrapText="1"/>
    </xf>
    <xf numFmtId="3" fontId="6" fillId="3" borderId="20" xfId="1" applyNumberFormat="1" applyFont="1" applyFill="1" applyBorder="1" applyAlignment="1">
      <alignment horizontal="right" vertical="center" wrapText="1"/>
    </xf>
    <xf numFmtId="3" fontId="6" fillId="3" borderId="20" xfId="0" applyNumberFormat="1" applyFont="1" applyFill="1" applyBorder="1" applyAlignment="1">
      <alignment horizontal="right" vertical="center" wrapText="1"/>
    </xf>
    <xf numFmtId="3" fontId="6" fillId="3" borderId="54" xfId="14" applyNumberFormat="1" applyFont="1" applyFill="1" applyBorder="1" applyAlignment="1">
      <alignment horizontal="right" vertical="center" wrapText="1"/>
    </xf>
    <xf numFmtId="3" fontId="6" fillId="3" borderId="20" xfId="14" applyNumberFormat="1" applyFont="1" applyFill="1" applyBorder="1" applyAlignment="1">
      <alignment horizontal="right" vertical="center"/>
    </xf>
    <xf numFmtId="3" fontId="10" fillId="3" borderId="20" xfId="1" applyNumberFormat="1" applyFont="1" applyFill="1" applyBorder="1" applyAlignment="1">
      <alignment horizontal="right" vertical="center" wrapText="1"/>
    </xf>
    <xf numFmtId="3" fontId="10" fillId="3" borderId="20" xfId="0" applyNumberFormat="1" applyFont="1" applyFill="1" applyBorder="1" applyAlignment="1">
      <alignment horizontal="right" vertical="center" wrapText="1"/>
    </xf>
    <xf numFmtId="3" fontId="6" fillId="0" borderId="54" xfId="1" applyNumberFormat="1" applyFont="1" applyBorder="1" applyAlignment="1">
      <alignment horizontal="right" vertical="center"/>
    </xf>
    <xf numFmtId="3" fontId="6" fillId="0" borderId="54" xfId="1" applyNumberFormat="1" applyFont="1" applyBorder="1" applyAlignment="1">
      <alignment horizontal="right"/>
    </xf>
    <xf numFmtId="3" fontId="4" fillId="3" borderId="20" xfId="12" applyNumberFormat="1" applyFont="1" applyFill="1" applyBorder="1" applyAlignment="1">
      <alignment vertical="center" wrapText="1"/>
    </xf>
    <xf numFmtId="3" fontId="4" fillId="3" borderId="20" xfId="12" applyNumberFormat="1" applyFont="1" applyFill="1" applyBorder="1" applyAlignment="1">
      <alignment wrapText="1"/>
    </xf>
    <xf numFmtId="3" fontId="6" fillId="3" borderId="20" xfId="5" applyNumberFormat="1" applyFont="1" applyFill="1" applyBorder="1" applyAlignment="1">
      <alignment vertical="center"/>
    </xf>
    <xf numFmtId="3" fontId="6" fillId="3" borderId="20" xfId="0" applyNumberFormat="1" applyFont="1" applyFill="1" applyBorder="1" applyAlignment="1">
      <alignment vertical="center"/>
    </xf>
    <xf numFmtId="3" fontId="6" fillId="3" borderId="54" xfId="5" applyNumberFormat="1" applyFont="1" applyFill="1" applyBorder="1" applyAlignment="1">
      <alignment vertical="center"/>
    </xf>
    <xf numFmtId="3" fontId="4" fillId="0" borderId="20" xfId="12" applyNumberFormat="1" applyFont="1" applyBorder="1" applyAlignment="1">
      <alignment vertical="center" wrapText="1"/>
    </xf>
    <xf numFmtId="3" fontId="6" fillId="3" borderId="20" xfId="0" applyNumberFormat="1" applyFont="1" applyFill="1" applyBorder="1"/>
    <xf numFmtId="164" fontId="62" fillId="0" borderId="0" xfId="1" applyFont="1" applyAlignment="1">
      <alignment horizontal="right"/>
    </xf>
    <xf numFmtId="3" fontId="6" fillId="3" borderId="54" xfId="0" applyNumberFormat="1" applyFont="1" applyFill="1" applyBorder="1" applyAlignment="1">
      <alignment horizontal="right" vertical="center"/>
    </xf>
    <xf numFmtId="3" fontId="10" fillId="3" borderId="20" xfId="0" applyNumberFormat="1" applyFont="1" applyFill="1" applyBorder="1" applyAlignment="1">
      <alignment vertical="center" wrapText="1"/>
    </xf>
    <xf numFmtId="3" fontId="4" fillId="3" borderId="21" xfId="1" applyNumberFormat="1" applyFont="1" applyFill="1" applyBorder="1" applyAlignment="1">
      <alignment vertical="center" wrapText="1"/>
    </xf>
    <xf numFmtId="3" fontId="4" fillId="3" borderId="13" xfId="1" applyNumberFormat="1" applyFont="1" applyFill="1" applyBorder="1" applyAlignment="1">
      <alignment vertical="center" wrapText="1"/>
    </xf>
    <xf numFmtId="0" fontId="2" fillId="2" borderId="54" xfId="0" applyFont="1" applyFill="1" applyBorder="1" applyAlignment="1">
      <alignment horizontal="center" vertical="center" wrapText="1" readingOrder="1"/>
    </xf>
    <xf numFmtId="0" fontId="11" fillId="0" borderId="0" xfId="0" applyFont="1" applyAlignment="1">
      <alignment horizontal="center" vertical="center" wrapText="1"/>
    </xf>
    <xf numFmtId="4" fontId="2" fillId="2" borderId="54" xfId="0" applyNumberFormat="1" applyFont="1" applyFill="1" applyBorder="1" applyAlignment="1">
      <alignment horizontal="center" vertical="center" wrapText="1" readingOrder="1"/>
    </xf>
    <xf numFmtId="0" fontId="67" fillId="42" borderId="54" xfId="0" applyFont="1" applyFill="1" applyBorder="1" applyAlignment="1">
      <alignment horizontal="center" vertical="center" wrapText="1" readingOrder="1"/>
    </xf>
    <xf numFmtId="3" fontId="67" fillId="42" borderId="55" xfId="0" applyNumberFormat="1" applyFont="1" applyFill="1" applyBorder="1" applyAlignment="1">
      <alignment horizontal="center" vertical="center" wrapText="1"/>
    </xf>
    <xf numFmtId="3" fontId="67" fillId="42" borderId="54" xfId="0" applyNumberFormat="1" applyFont="1" applyFill="1" applyBorder="1" applyAlignment="1">
      <alignment horizontal="center" vertical="center" wrapText="1"/>
    </xf>
    <xf numFmtId="0" fontId="5" fillId="0" borderId="54" xfId="0" applyFont="1" applyBorder="1" applyAlignment="1">
      <alignment horizontal="center" vertical="center" wrapText="1" readingOrder="1"/>
    </xf>
    <xf numFmtId="3" fontId="6" fillId="0" borderId="54" xfId="0" applyNumberFormat="1" applyFont="1" applyBorder="1" applyAlignment="1">
      <alignment horizontal="center" vertical="center" wrapText="1"/>
    </xf>
    <xf numFmtId="3" fontId="5" fillId="0" borderId="54" xfId="0" applyNumberFormat="1" applyFont="1" applyBorder="1" applyAlignment="1">
      <alignment horizontal="right" vertical="center" wrapText="1" readingOrder="1"/>
    </xf>
    <xf numFmtId="10" fontId="5" fillId="0" borderId="54" xfId="0" applyNumberFormat="1" applyFont="1" applyBorder="1" applyAlignment="1">
      <alignment horizontal="center" vertical="center" wrapText="1" readingOrder="1"/>
    </xf>
    <xf numFmtId="3" fontId="6" fillId="3" borderId="54" xfId="1" applyNumberFormat="1" applyFont="1" applyFill="1" applyBorder="1" applyAlignment="1">
      <alignment horizontal="center" vertical="center" wrapText="1"/>
    </xf>
    <xf numFmtId="0" fontId="5" fillId="2" borderId="17" xfId="0" applyFont="1" applyFill="1" applyBorder="1" applyAlignment="1">
      <alignment horizontal="center" vertical="center" wrapText="1" readingOrder="1"/>
    </xf>
    <xf numFmtId="0" fontId="5" fillId="2" borderId="3" xfId="0" applyFont="1" applyFill="1" applyBorder="1" applyAlignment="1">
      <alignment horizontal="center" vertical="center" wrapText="1" readingOrder="1"/>
    </xf>
    <xf numFmtId="3" fontId="5" fillId="0" borderId="54" xfId="0" applyNumberFormat="1" applyFont="1" applyBorder="1" applyAlignment="1">
      <alignment horizontal="center" vertical="center" wrapText="1" readingOrder="1"/>
    </xf>
    <xf numFmtId="0" fontId="5" fillId="43" borderId="54" xfId="0" applyFont="1" applyFill="1" applyBorder="1" applyAlignment="1">
      <alignment horizontal="center" vertical="center" wrapText="1" readingOrder="1"/>
    </xf>
    <xf numFmtId="3" fontId="5" fillId="43" borderId="54" xfId="0" applyNumberFormat="1" applyFont="1" applyFill="1" applyBorder="1" applyAlignment="1">
      <alignment horizontal="center" vertical="center" wrapText="1" readingOrder="1"/>
    </xf>
    <xf numFmtId="0" fontId="2" fillId="0" borderId="13" xfId="0" applyFont="1" applyBorder="1" applyAlignment="1">
      <alignment horizontal="center" vertical="center" wrapText="1" readingOrder="1"/>
    </xf>
    <xf numFmtId="3" fontId="2" fillId="0" borderId="54" xfId="0" applyNumberFormat="1" applyFont="1" applyBorder="1" applyAlignment="1">
      <alignment horizontal="center" vertical="center" wrapText="1" readingOrder="1"/>
    </xf>
    <xf numFmtId="3" fontId="6" fillId="3" borderId="54" xfId="2" applyNumberFormat="1" applyFont="1" applyFill="1" applyBorder="1" applyAlignment="1">
      <alignment horizontal="right" vertical="center" wrapText="1"/>
    </xf>
    <xf numFmtId="0" fontId="68" fillId="0" borderId="0" xfId="0" quotePrefix="1" applyFont="1" applyAlignment="1">
      <alignment vertical="top" wrapText="1"/>
    </xf>
    <xf numFmtId="0" fontId="11" fillId="0" borderId="0" xfId="0" applyFont="1" applyAlignment="1">
      <alignment vertical="top"/>
    </xf>
    <xf numFmtId="3" fontId="11" fillId="0" borderId="0" xfId="0" applyNumberFormat="1" applyFont="1" applyAlignment="1">
      <alignment horizontal="right"/>
    </xf>
    <xf numFmtId="4" fontId="11" fillId="0" borderId="0" xfId="0" applyNumberFormat="1" applyFont="1"/>
    <xf numFmtId="3" fontId="2" fillId="2" borderId="54" xfId="0" applyNumberFormat="1" applyFont="1" applyFill="1" applyBorder="1" applyAlignment="1">
      <alignment horizontal="center" vertical="center" wrapText="1"/>
    </xf>
    <xf numFmtId="3" fontId="67" fillId="42" borderId="27" xfId="0" applyNumberFormat="1" applyFont="1" applyFill="1" applyBorder="1" applyAlignment="1">
      <alignment horizontal="center" vertical="center" wrapText="1"/>
    </xf>
    <xf numFmtId="3" fontId="6" fillId="3" borderId="54" xfId="0" applyNumberFormat="1" applyFont="1" applyFill="1" applyBorder="1" applyAlignment="1">
      <alignment horizontal="center" vertical="center" wrapText="1"/>
    </xf>
    <xf numFmtId="3" fontId="6" fillId="3" borderId="21" xfId="0" applyNumberFormat="1" applyFont="1" applyFill="1" applyBorder="1" applyAlignment="1">
      <alignment horizontal="right" vertical="center" wrapText="1" readingOrder="1"/>
    </xf>
    <xf numFmtId="3" fontId="6" fillId="3" borderId="54" xfId="2" applyNumberFormat="1" applyFont="1" applyFill="1" applyBorder="1" applyAlignment="1">
      <alignment horizontal="center" vertical="center" wrapText="1"/>
    </xf>
    <xf numFmtId="3" fontId="6" fillId="3" borderId="18" xfId="0" applyNumberFormat="1" applyFont="1" applyFill="1" applyBorder="1" applyAlignment="1">
      <alignment horizontal="right" vertical="center" wrapText="1" readingOrder="1"/>
    </xf>
    <xf numFmtId="3" fontId="5" fillId="3" borderId="54" xfId="0" applyNumberFormat="1" applyFont="1" applyFill="1" applyBorder="1" applyAlignment="1">
      <alignment horizontal="center" vertical="center" wrapText="1" readingOrder="1"/>
    </xf>
    <xf numFmtId="0" fontId="5" fillId="43" borderId="14" xfId="0" applyFont="1" applyFill="1" applyBorder="1" applyAlignment="1">
      <alignment horizontal="center" vertical="center" wrapText="1" readingOrder="1"/>
    </xf>
    <xf numFmtId="3" fontId="69" fillId="43" borderId="54" xfId="0" applyNumberFormat="1" applyFont="1" applyFill="1" applyBorder="1" applyAlignment="1">
      <alignment horizontal="right" vertical="center" wrapText="1" readingOrder="1"/>
    </xf>
    <xf numFmtId="0" fontId="2" fillId="0" borderId="54" xfId="0" applyFont="1" applyBorder="1" applyAlignment="1">
      <alignment vertical="center" wrapText="1" readingOrder="1"/>
    </xf>
    <xf numFmtId="3" fontId="2" fillId="0" borderId="54" xfId="0" applyNumberFormat="1" applyFont="1" applyBorder="1" applyAlignment="1">
      <alignment vertical="center" wrapText="1" readingOrder="1"/>
    </xf>
    <xf numFmtId="3" fontId="5" fillId="2" borderId="14" xfId="0" applyNumberFormat="1" applyFont="1" applyFill="1" applyBorder="1" applyAlignment="1">
      <alignment horizontal="center" vertical="center" wrapText="1" readingOrder="1"/>
    </xf>
    <xf numFmtId="3" fontId="2" fillId="0" borderId="54" xfId="0" applyNumberFormat="1" applyFont="1" applyBorder="1" applyAlignment="1">
      <alignment horizontal="right" vertical="center" wrapText="1" readingOrder="1"/>
    </xf>
    <xf numFmtId="3" fontId="15" fillId="0" borderId="54" xfId="0" applyNumberFormat="1" applyFont="1" applyBorder="1" applyAlignment="1">
      <alignment vertical="center" wrapText="1" readingOrder="1"/>
    </xf>
    <xf numFmtId="3" fontId="15" fillId="0" borderId="54" xfId="0" applyNumberFormat="1" applyFont="1" applyBorder="1" applyAlignment="1">
      <alignment horizontal="right" vertical="center" wrapText="1" readingOrder="1"/>
    </xf>
    <xf numFmtId="0" fontId="11" fillId="3" borderId="0" xfId="0" applyFont="1" applyFill="1" applyAlignment="1">
      <alignment vertical="top"/>
    </xf>
    <xf numFmtId="0" fontId="35" fillId="0" borderId="0" xfId="0" applyFont="1"/>
    <xf numFmtId="3" fontId="2" fillId="2" borderId="54" xfId="0" applyNumberFormat="1" applyFont="1" applyFill="1" applyBorder="1" applyAlignment="1">
      <alignment horizontal="center" vertical="center" wrapText="1" readingOrder="1"/>
    </xf>
    <xf numFmtId="10" fontId="2" fillId="2" borderId="54" xfId="0" applyNumberFormat="1" applyFont="1" applyFill="1" applyBorder="1" applyAlignment="1">
      <alignment horizontal="center" vertical="center" wrapText="1" readingOrder="1"/>
    </xf>
    <xf numFmtId="3" fontId="70" fillId="42" borderId="54" xfId="0" applyNumberFormat="1" applyFont="1" applyFill="1" applyBorder="1" applyAlignment="1">
      <alignment horizontal="center" vertical="center" wrapText="1"/>
    </xf>
    <xf numFmtId="0" fontId="70" fillId="42" borderId="54" xfId="0" applyFont="1" applyFill="1" applyBorder="1" applyAlignment="1">
      <alignment horizontal="center" vertical="center" wrapText="1" readingOrder="1"/>
    </xf>
    <xf numFmtId="3" fontId="70" fillId="42" borderId="54" xfId="0" applyNumberFormat="1" applyFont="1" applyFill="1" applyBorder="1" applyAlignment="1">
      <alignment horizontal="center" vertical="center" wrapText="1" readingOrder="1"/>
    </xf>
    <xf numFmtId="10" fontId="70" fillId="42" borderId="54" xfId="0" applyNumberFormat="1" applyFont="1" applyFill="1" applyBorder="1" applyAlignment="1">
      <alignment horizontal="center" vertical="center" wrapText="1" readingOrder="1"/>
    </xf>
    <xf numFmtId="0" fontId="5" fillId="0" borderId="27" xfId="0" applyFont="1" applyBorder="1" applyAlignment="1">
      <alignment horizontal="center" vertical="center" wrapText="1" readingOrder="1"/>
    </xf>
    <xf numFmtId="3" fontId="6" fillId="3" borderId="21" xfId="0" applyNumberFormat="1" applyFont="1" applyFill="1" applyBorder="1" applyAlignment="1">
      <alignment horizontal="right" vertical="center"/>
    </xf>
    <xf numFmtId="3" fontId="6" fillId="3" borderId="18" xfId="0" applyNumberFormat="1" applyFont="1" applyFill="1" applyBorder="1" applyAlignment="1">
      <alignment horizontal="right" vertical="center"/>
    </xf>
    <xf numFmtId="3" fontId="6" fillId="3" borderId="54" xfId="0" applyNumberFormat="1" applyFont="1" applyFill="1" applyBorder="1" applyAlignment="1">
      <alignment horizontal="center"/>
    </xf>
    <xf numFmtId="3" fontId="6" fillId="3" borderId="54" xfId="0" applyNumberFormat="1" applyFont="1" applyFill="1" applyBorder="1" applyAlignment="1">
      <alignment horizontal="right"/>
    </xf>
    <xf numFmtId="3" fontId="5" fillId="3" borderId="54" xfId="0" applyNumberFormat="1" applyFont="1" applyFill="1" applyBorder="1" applyAlignment="1">
      <alignment vertical="center" wrapText="1" readingOrder="1"/>
    </xf>
    <xf numFmtId="0" fontId="2" fillId="42" borderId="27" xfId="0" applyFont="1" applyFill="1" applyBorder="1" applyAlignment="1">
      <alignment horizontal="center" vertical="center" wrapText="1" readingOrder="1"/>
    </xf>
    <xf numFmtId="3" fontId="15" fillId="42" borderId="54" xfId="0" applyNumberFormat="1" applyFont="1" applyFill="1" applyBorder="1" applyAlignment="1">
      <alignment horizontal="center"/>
    </xf>
    <xf numFmtId="3" fontId="15" fillId="42" borderId="54" xfId="0" applyNumberFormat="1" applyFont="1" applyFill="1" applyBorder="1" applyAlignment="1">
      <alignment horizontal="right"/>
    </xf>
    <xf numFmtId="3" fontId="6" fillId="3" borderId="13" xfId="0" applyNumberFormat="1" applyFont="1" applyFill="1" applyBorder="1" applyAlignment="1">
      <alignment horizontal="right" vertical="center"/>
    </xf>
    <xf numFmtId="3" fontId="12" fillId="0" borderId="54" xfId="0" applyNumberFormat="1" applyFont="1" applyBorder="1" applyAlignment="1">
      <alignment horizontal="center"/>
    </xf>
    <xf numFmtId="3" fontId="12" fillId="0" borderId="54" xfId="0" applyNumberFormat="1" applyFont="1" applyBorder="1" applyAlignment="1">
      <alignment horizontal="right"/>
    </xf>
    <xf numFmtId="3" fontId="8" fillId="3" borderId="54" xfId="0" applyNumberFormat="1" applyFont="1" applyFill="1" applyBorder="1" applyAlignment="1">
      <alignment horizontal="right" vertical="center" wrapText="1"/>
    </xf>
    <xf numFmtId="10" fontId="12" fillId="0" borderId="54" xfId="0" applyNumberFormat="1" applyFont="1" applyBorder="1" applyAlignment="1">
      <alignment horizontal="center" vertical="center"/>
    </xf>
    <xf numFmtId="3" fontId="2" fillId="3" borderId="54" xfId="0" applyNumberFormat="1" applyFont="1" applyFill="1" applyBorder="1" applyAlignment="1">
      <alignment horizontal="right" vertical="center" wrapText="1"/>
    </xf>
    <xf numFmtId="10" fontId="15" fillId="0" borderId="54" xfId="0" applyNumberFormat="1" applyFont="1" applyBorder="1" applyAlignment="1">
      <alignment horizontal="center" vertical="center"/>
    </xf>
    <xf numFmtId="3" fontId="6" fillId="0" borderId="54" xfId="0" applyNumberFormat="1" applyFont="1" applyBorder="1" applyAlignment="1">
      <alignment horizontal="center"/>
    </xf>
    <xf numFmtId="3" fontId="5" fillId="3" borderId="21" xfId="0" applyNumberFormat="1" applyFont="1" applyFill="1" applyBorder="1" applyAlignment="1">
      <alignment horizontal="right" vertical="center" wrapText="1"/>
    </xf>
    <xf numFmtId="3" fontId="5" fillId="3" borderId="18" xfId="0" applyNumberFormat="1" applyFont="1" applyFill="1" applyBorder="1" applyAlignment="1">
      <alignment horizontal="right" vertical="center" wrapText="1"/>
    </xf>
    <xf numFmtId="3" fontId="5" fillId="3" borderId="13" xfId="0" applyNumberFormat="1" applyFont="1" applyFill="1" applyBorder="1" applyAlignment="1">
      <alignment horizontal="right" vertical="center" wrapText="1"/>
    </xf>
    <xf numFmtId="0" fontId="5" fillId="0" borderId="55" xfId="0" applyFont="1" applyBorder="1" applyAlignment="1">
      <alignment horizontal="center" vertical="center" wrapText="1" readingOrder="1"/>
    </xf>
    <xf numFmtId="3" fontId="6" fillId="3" borderId="15" xfId="0" applyNumberFormat="1" applyFont="1" applyFill="1" applyBorder="1" applyAlignment="1">
      <alignment horizontal="center"/>
    </xf>
    <xf numFmtId="3" fontId="6" fillId="3" borderId="13" xfId="0" applyNumberFormat="1" applyFont="1" applyFill="1" applyBorder="1" applyAlignment="1">
      <alignment horizontal="center"/>
    </xf>
    <xf numFmtId="3" fontId="5" fillId="3" borderId="55" xfId="0" applyNumberFormat="1" applyFont="1" applyFill="1" applyBorder="1" applyAlignment="1">
      <alignment vertical="center" wrapText="1" readingOrder="1"/>
    </xf>
    <xf numFmtId="3" fontId="2" fillId="44" borderId="54" xfId="0" applyNumberFormat="1" applyFont="1" applyFill="1" applyBorder="1" applyAlignment="1">
      <alignment horizontal="center" vertical="center" wrapText="1" readingOrder="1"/>
    </xf>
    <xf numFmtId="3" fontId="2" fillId="44" borderId="54" xfId="0" applyNumberFormat="1" applyFont="1" applyFill="1" applyBorder="1" applyAlignment="1">
      <alignment horizontal="right" vertical="center" wrapText="1" readingOrder="1"/>
    </xf>
    <xf numFmtId="3" fontId="2" fillId="44" borderId="13" xfId="0" applyNumberFormat="1" applyFont="1" applyFill="1" applyBorder="1" applyAlignment="1">
      <alignment vertical="center" wrapText="1" readingOrder="1"/>
    </xf>
    <xf numFmtId="10" fontId="2" fillId="44" borderId="13" xfId="0" applyNumberFormat="1" applyFont="1" applyFill="1" applyBorder="1" applyAlignment="1">
      <alignment horizontal="right" vertical="center" wrapText="1" readingOrder="1"/>
    </xf>
    <xf numFmtId="0" fontId="11" fillId="3" borderId="0" xfId="0" quotePrefix="1" applyFont="1" applyFill="1" applyAlignment="1">
      <alignment vertical="top" wrapText="1"/>
    </xf>
    <xf numFmtId="3" fontId="11" fillId="0" borderId="0" xfId="0" applyNumberFormat="1" applyFont="1" applyAlignment="1">
      <alignment horizontal="center"/>
    </xf>
    <xf numFmtId="0" fontId="35" fillId="0" borderId="0" xfId="0" applyFont="1" applyAlignment="1">
      <alignment vertical="center" wrapText="1"/>
    </xf>
    <xf numFmtId="0" fontId="35" fillId="0" borderId="0" xfId="0" applyFont="1" applyAlignment="1">
      <alignment vertical="center"/>
    </xf>
    <xf numFmtId="0" fontId="0" fillId="0" borderId="0" xfId="0" applyAlignment="1">
      <alignment horizontal="left" wrapText="1"/>
    </xf>
    <xf numFmtId="3" fontId="0" fillId="0" borderId="0" xfId="0" applyNumberFormat="1" applyAlignment="1">
      <alignment horizontal="right"/>
    </xf>
    <xf numFmtId="10" fontId="0" fillId="0" borderId="0" xfId="0" applyNumberFormat="1" applyAlignment="1">
      <alignment horizontal="center"/>
    </xf>
    <xf numFmtId="10" fontId="2" fillId="0" borderId="54" xfId="0" applyNumberFormat="1" applyFont="1" applyBorder="1" applyAlignment="1">
      <alignment horizontal="right" vertical="center" wrapText="1" readingOrder="1"/>
    </xf>
    <xf numFmtId="3" fontId="5" fillId="0" borderId="54" xfId="0" applyNumberFormat="1" applyFont="1" applyBorder="1" applyAlignment="1">
      <alignment horizontal="center" vertical="center" wrapText="1"/>
    </xf>
    <xf numFmtId="3" fontId="6" fillId="3" borderId="54" xfId="0" applyNumberFormat="1" applyFont="1" applyFill="1" applyBorder="1" applyAlignment="1">
      <alignment horizontal="center" vertical="center"/>
    </xf>
    <xf numFmtId="3" fontId="15" fillId="42" borderId="54" xfId="0" applyNumberFormat="1" applyFont="1" applyFill="1" applyBorder="1" applyAlignment="1">
      <alignment horizontal="center" vertical="center"/>
    </xf>
    <xf numFmtId="3" fontId="15" fillId="42" borderId="54" xfId="0" applyNumberFormat="1" applyFont="1" applyFill="1" applyBorder="1" applyAlignment="1">
      <alignment horizontal="right" vertical="center"/>
    </xf>
    <xf numFmtId="0" fontId="5" fillId="3" borderId="54" xfId="0" applyFont="1" applyFill="1" applyBorder="1" applyAlignment="1">
      <alignment horizontal="center" vertical="center" wrapText="1" readingOrder="1"/>
    </xf>
    <xf numFmtId="3" fontId="2" fillId="44" borderId="13" xfId="0" applyNumberFormat="1" applyFont="1" applyFill="1" applyBorder="1" applyAlignment="1">
      <alignment horizontal="right" vertical="center" wrapText="1" readingOrder="1"/>
    </xf>
    <xf numFmtId="10" fontId="2" fillId="44" borderId="13" xfId="0" applyNumberFormat="1" applyFont="1" applyFill="1" applyBorder="1" applyAlignment="1">
      <alignment horizontal="center" vertical="center" wrapText="1" readingOrder="1"/>
    </xf>
    <xf numFmtId="0" fontId="5" fillId="45" borderId="54" xfId="0" applyFont="1" applyFill="1" applyBorder="1" applyAlignment="1">
      <alignment horizontal="center" vertical="center" wrapText="1" readingOrder="1"/>
    </xf>
    <xf numFmtId="0" fontId="69" fillId="1" borderId="54" xfId="0" applyFont="1" applyFill="1" applyBorder="1" applyAlignment="1">
      <alignment horizontal="center" vertical="center" wrapText="1" readingOrder="1"/>
    </xf>
    <xf numFmtId="3" fontId="67" fillId="2" borderId="54" xfId="0" applyNumberFormat="1" applyFont="1" applyFill="1" applyBorder="1" applyAlignment="1">
      <alignment horizontal="center" vertical="center" wrapText="1"/>
    </xf>
    <xf numFmtId="3" fontId="2" fillId="3" borderId="54" xfId="0" applyNumberFormat="1" applyFont="1" applyFill="1" applyBorder="1" applyAlignment="1">
      <alignment horizontal="center" vertical="center" wrapText="1" readingOrder="1"/>
    </xf>
    <xf numFmtId="3" fontId="2" fillId="3" borderId="54" xfId="0" applyNumberFormat="1" applyFont="1" applyFill="1" applyBorder="1" applyAlignment="1">
      <alignment horizontal="right" vertical="center" wrapText="1" readingOrder="1"/>
    </xf>
    <xf numFmtId="10" fontId="2" fillId="0" borderId="54" xfId="0" applyNumberFormat="1" applyFont="1" applyBorder="1" applyAlignment="1">
      <alignment horizontal="center" vertical="center" wrapText="1" readingOrder="1"/>
    </xf>
    <xf numFmtId="0" fontId="69" fillId="43" borderId="55" xfId="0" applyFont="1" applyFill="1" applyBorder="1" applyAlignment="1">
      <alignment horizontal="center" vertical="center" wrapText="1" readingOrder="1"/>
    </xf>
    <xf numFmtId="0" fontId="69" fillId="2" borderId="17" xfId="0" applyFont="1" applyFill="1" applyBorder="1" applyAlignment="1">
      <alignment horizontal="center" vertical="center" wrapText="1" readingOrder="1"/>
    </xf>
    <xf numFmtId="0" fontId="69" fillId="2" borderId="3" xfId="0" applyFont="1" applyFill="1" applyBorder="1" applyAlignment="1">
      <alignment horizontal="center" vertical="center" wrapText="1" readingOrder="1"/>
    </xf>
    <xf numFmtId="0" fontId="5" fillId="2" borderId="55" xfId="0" applyFont="1" applyFill="1" applyBorder="1" applyAlignment="1">
      <alignment vertical="center" wrapText="1" readingOrder="1"/>
    </xf>
    <xf numFmtId="3" fontId="5" fillId="3" borderId="54" xfId="1" applyNumberFormat="1" applyFont="1" applyFill="1" applyBorder="1" applyAlignment="1">
      <alignment vertical="center" wrapText="1"/>
    </xf>
    <xf numFmtId="3" fontId="10" fillId="3" borderId="5" xfId="0" applyNumberFormat="1" applyFont="1" applyFill="1" applyBorder="1" applyAlignment="1">
      <alignment horizontal="center" vertical="center"/>
    </xf>
    <xf numFmtId="3" fontId="6" fillId="3" borderId="54" xfId="1" applyNumberFormat="1" applyFont="1" applyFill="1" applyBorder="1" applyAlignment="1">
      <alignment vertical="center" wrapText="1"/>
    </xf>
    <xf numFmtId="3" fontId="10" fillId="3" borderId="54" xfId="1" applyNumberFormat="1" applyFont="1" applyFill="1" applyBorder="1" applyAlignment="1">
      <alignment vertical="center" wrapText="1"/>
    </xf>
    <xf numFmtId="3" fontId="15" fillId="2" borderId="54" xfId="1" applyNumberFormat="1" applyFont="1" applyFill="1" applyBorder="1" applyAlignment="1">
      <alignment horizontal="right" vertical="center"/>
    </xf>
    <xf numFmtId="43" fontId="66" fillId="3" borderId="54" xfId="6" applyFont="1" applyFill="1" applyBorder="1" applyAlignment="1">
      <alignment vertical="center" wrapText="1"/>
    </xf>
    <xf numFmtId="9" fontId="6" fillId="3" borderId="18" xfId="5" applyFont="1" applyFill="1" applyBorder="1" applyAlignment="1">
      <alignment horizontal="center" vertical="center"/>
    </xf>
    <xf numFmtId="3" fontId="4" fillId="3" borderId="18" xfId="1" applyNumberFormat="1" applyFont="1" applyFill="1" applyBorder="1" applyAlignment="1">
      <alignment vertical="center" wrapText="1"/>
    </xf>
    <xf numFmtId="169" fontId="6" fillId="0" borderId="18" xfId="1" applyNumberFormat="1" applyFont="1" applyFill="1" applyBorder="1" applyAlignment="1">
      <alignment horizontal="center" vertical="center"/>
    </xf>
    <xf numFmtId="3" fontId="10" fillId="3" borderId="54" xfId="1" applyNumberFormat="1" applyFont="1" applyFill="1" applyBorder="1" applyAlignment="1">
      <alignment vertical="center"/>
    </xf>
    <xf numFmtId="3" fontId="6" fillId="3" borderId="54" xfId="0" applyNumberFormat="1" applyFont="1" applyFill="1" applyBorder="1"/>
    <xf numFmtId="3" fontId="10" fillId="0" borderId="54" xfId="2" applyNumberFormat="1" applyFont="1" applyFill="1" applyBorder="1" applyAlignment="1">
      <alignment horizontal="right" vertical="center" wrapText="1"/>
    </xf>
    <xf numFmtId="169" fontId="6" fillId="0" borderId="54" xfId="1" applyNumberFormat="1" applyFont="1" applyFill="1" applyBorder="1" applyAlignment="1">
      <alignment horizontal="center" vertical="center"/>
    </xf>
    <xf numFmtId="0" fontId="24" fillId="0" borderId="0" xfId="0" applyFont="1" applyAlignment="1">
      <alignment horizontal="center" vertical="center" wrapText="1"/>
    </xf>
    <xf numFmtId="164" fontId="2" fillId="2" borderId="54" xfId="1" applyFont="1" applyFill="1" applyBorder="1" applyAlignment="1">
      <alignment horizontal="center" vertical="center" wrapText="1"/>
    </xf>
    <xf numFmtId="3" fontId="6" fillId="3" borderId="21" xfId="1" applyNumberFormat="1" applyFont="1" applyFill="1" applyBorder="1" applyAlignment="1">
      <alignment horizontal="right" vertical="center" wrapText="1"/>
    </xf>
    <xf numFmtId="3" fontId="6" fillId="3" borderId="18" xfId="1" applyNumberFormat="1" applyFont="1" applyFill="1" applyBorder="1" applyAlignment="1">
      <alignment horizontal="right" vertical="center" wrapText="1"/>
    </xf>
    <xf numFmtId="3" fontId="6" fillId="3" borderId="13" xfId="1" applyNumberFormat="1" applyFont="1" applyFill="1" applyBorder="1" applyAlignment="1">
      <alignment horizontal="right" vertical="center" wrapText="1"/>
    </xf>
    <xf numFmtId="3" fontId="6" fillId="0" borderId="21" xfId="1" applyNumberFormat="1" applyFont="1" applyFill="1" applyBorder="1" applyAlignment="1">
      <alignment horizontal="right" vertical="center" wrapText="1"/>
    </xf>
    <xf numFmtId="3" fontId="6" fillId="0" borderId="13" xfId="1" applyNumberFormat="1" applyFont="1" applyFill="1" applyBorder="1" applyAlignment="1">
      <alignment horizontal="right" vertical="center" wrapText="1"/>
    </xf>
    <xf numFmtId="3" fontId="4" fillId="0" borderId="21" xfId="1" applyNumberFormat="1" applyFont="1" applyFill="1" applyBorder="1" applyAlignment="1">
      <alignment horizontal="right" vertical="center" wrapText="1"/>
    </xf>
    <xf numFmtId="3" fontId="4" fillId="0" borderId="18" xfId="1" applyNumberFormat="1" applyFont="1" applyFill="1" applyBorder="1" applyAlignment="1">
      <alignment horizontal="right" vertical="center" wrapText="1"/>
    </xf>
    <xf numFmtId="3" fontId="4" fillId="0" borderId="13" xfId="1" applyNumberFormat="1" applyFont="1" applyFill="1" applyBorder="1" applyAlignment="1">
      <alignment horizontal="right" vertical="center" wrapText="1"/>
    </xf>
    <xf numFmtId="9" fontId="6" fillId="3" borderId="54" xfId="5" applyFont="1" applyFill="1" applyBorder="1" applyAlignment="1">
      <alignment horizontal="center" vertical="center"/>
    </xf>
    <xf numFmtId="3" fontId="6" fillId="3" borderId="21" xfId="1" applyNumberFormat="1" applyFont="1" applyFill="1" applyBorder="1" applyAlignment="1">
      <alignment vertical="center"/>
    </xf>
    <xf numFmtId="3" fontId="6" fillId="3" borderId="18" xfId="1" applyNumberFormat="1" applyFont="1" applyFill="1" applyBorder="1" applyAlignment="1">
      <alignment vertical="center"/>
    </xf>
    <xf numFmtId="3" fontId="6" fillId="3" borderId="13" xfId="1" applyNumberFormat="1" applyFont="1" applyFill="1" applyBorder="1" applyAlignment="1">
      <alignment vertical="center"/>
    </xf>
    <xf numFmtId="9" fontId="6" fillId="0" borderId="54" xfId="5" applyFont="1" applyFill="1" applyBorder="1" applyAlignment="1">
      <alignment horizontal="center" vertical="center"/>
    </xf>
    <xf numFmtId="3" fontId="5" fillId="0" borderId="21" xfId="1" applyNumberFormat="1" applyFont="1" applyFill="1" applyBorder="1" applyAlignment="1">
      <alignment horizontal="right" vertical="center" wrapText="1"/>
    </xf>
    <xf numFmtId="3" fontId="5" fillId="0" borderId="13" xfId="1" applyNumberFormat="1" applyFont="1" applyFill="1" applyBorder="1" applyAlignment="1">
      <alignment horizontal="right" vertical="center" wrapText="1"/>
    </xf>
    <xf numFmtId="3" fontId="6" fillId="3" borderId="21" xfId="1" applyNumberFormat="1" applyFont="1" applyFill="1" applyBorder="1" applyAlignment="1">
      <alignment horizontal="right" vertical="center"/>
    </xf>
    <xf numFmtId="3" fontId="6" fillId="3" borderId="13" xfId="1" applyNumberFormat="1" applyFont="1" applyFill="1" applyBorder="1" applyAlignment="1">
      <alignment horizontal="right" vertical="center"/>
    </xf>
    <xf numFmtId="9" fontId="6" fillId="3" borderId="21" xfId="5" applyFont="1" applyFill="1" applyBorder="1" applyAlignment="1">
      <alignment horizontal="center" vertical="center"/>
    </xf>
    <xf numFmtId="9" fontId="6" fillId="3" borderId="18" xfId="5" applyFont="1" applyFill="1" applyBorder="1" applyAlignment="1">
      <alignment horizontal="center" vertical="center"/>
    </xf>
    <xf numFmtId="9" fontId="6" fillId="3" borderId="13" xfId="5" applyFont="1" applyFill="1" applyBorder="1" applyAlignment="1">
      <alignment horizontal="center" vertical="center"/>
    </xf>
    <xf numFmtId="3" fontId="6" fillId="3" borderId="18" xfId="1" applyNumberFormat="1" applyFont="1" applyFill="1" applyBorder="1" applyAlignment="1">
      <alignment horizontal="right" vertical="center"/>
    </xf>
    <xf numFmtId="3" fontId="4" fillId="3" borderId="20" xfId="12" applyNumberFormat="1" applyFont="1" applyFill="1" applyBorder="1" applyAlignment="1">
      <alignment vertical="center" wrapText="1"/>
    </xf>
    <xf numFmtId="3" fontId="4" fillId="3" borderId="21" xfId="1" applyNumberFormat="1" applyFont="1" applyFill="1" applyBorder="1" applyAlignment="1">
      <alignment horizontal="right" vertical="center" wrapText="1"/>
    </xf>
    <xf numFmtId="3" fontId="4" fillId="3" borderId="18" xfId="1" applyNumberFormat="1" applyFont="1" applyFill="1" applyBorder="1" applyAlignment="1">
      <alignment horizontal="right" vertical="center" wrapText="1"/>
    </xf>
    <xf numFmtId="3" fontId="4" fillId="3" borderId="13" xfId="1" applyNumberFormat="1" applyFont="1" applyFill="1" applyBorder="1" applyAlignment="1">
      <alignment horizontal="right" vertical="center" wrapText="1"/>
    </xf>
    <xf numFmtId="0" fontId="2" fillId="2" borderId="20" xfId="0" applyFont="1" applyFill="1" applyBorder="1" applyAlignment="1">
      <alignment horizontal="center" vertical="center" wrapText="1"/>
    </xf>
    <xf numFmtId="0" fontId="2" fillId="2" borderId="54" xfId="0" applyFont="1" applyFill="1" applyBorder="1" applyAlignment="1">
      <alignment horizontal="center" vertical="center" wrapText="1"/>
    </xf>
    <xf numFmtId="3" fontId="4" fillId="3" borderId="21" xfId="2" applyNumberFormat="1" applyFont="1" applyFill="1" applyBorder="1" applyAlignment="1">
      <alignment horizontal="right" vertical="center" wrapText="1"/>
    </xf>
    <xf numFmtId="3" fontId="4" fillId="3" borderId="13" xfId="2" applyNumberFormat="1" applyFont="1" applyFill="1" applyBorder="1" applyAlignment="1">
      <alignment horizontal="right" vertical="center" wrapText="1"/>
    </xf>
    <xf numFmtId="0" fontId="28" fillId="3" borderId="0" xfId="0" applyFont="1" applyFill="1" applyAlignment="1">
      <alignment horizontal="left" vertical="center" wrapText="1"/>
    </xf>
    <xf numFmtId="7" fontId="17" fillId="3" borderId="21" xfId="3" quotePrefix="1" applyNumberFormat="1" applyFont="1" applyFill="1" applyBorder="1" applyAlignment="1">
      <alignment horizontal="center" vertical="center" wrapText="1"/>
    </xf>
    <xf numFmtId="7" fontId="17" fillId="3" borderId="18" xfId="3" quotePrefix="1" applyNumberFormat="1" applyFont="1" applyFill="1" applyBorder="1" applyAlignment="1">
      <alignment horizontal="center" vertical="center" wrapText="1"/>
    </xf>
    <xf numFmtId="7" fontId="17" fillId="3" borderId="13" xfId="3" quotePrefix="1" applyNumberFormat="1" applyFont="1" applyFill="1" applyBorder="1" applyAlignment="1">
      <alignment horizontal="center" vertical="center" wrapText="1"/>
    </xf>
    <xf numFmtId="0" fontId="6" fillId="0" borderId="20" xfId="0" applyFont="1" applyBorder="1" applyAlignment="1">
      <alignment horizontal="center"/>
    </xf>
    <xf numFmtId="7" fontId="17" fillId="0" borderId="20" xfId="3" quotePrefix="1" applyNumberFormat="1" applyFont="1" applyBorder="1" applyAlignment="1">
      <alignment horizontal="center" vertical="center" wrapText="1"/>
    </xf>
    <xf numFmtId="7" fontId="17" fillId="0" borderId="20" xfId="3" applyNumberFormat="1" applyFont="1" applyBorder="1" applyAlignment="1">
      <alignment horizontal="center" vertical="center" wrapText="1"/>
    </xf>
    <xf numFmtId="3" fontId="4" fillId="3" borderId="20" xfId="12" applyNumberFormat="1" applyFont="1" applyFill="1" applyBorder="1" applyAlignment="1">
      <alignment horizontal="right" vertical="center" wrapText="1"/>
    </xf>
    <xf numFmtId="0" fontId="2" fillId="2" borderId="21"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3" xfId="0" applyFont="1" applyFill="1" applyBorder="1" applyAlignment="1">
      <alignment horizontal="center" vertical="center" wrapText="1"/>
    </xf>
    <xf numFmtId="164" fontId="2" fillId="2" borderId="35" xfId="1" applyFont="1" applyFill="1" applyBorder="1" applyAlignment="1">
      <alignment horizontal="center" vertical="center" wrapText="1"/>
    </xf>
    <xf numFmtId="164" fontId="2" fillId="2" borderId="36" xfId="1" applyFont="1" applyFill="1" applyBorder="1" applyAlignment="1">
      <alignment horizontal="center" vertical="center" wrapText="1"/>
    </xf>
    <xf numFmtId="164" fontId="2" fillId="2" borderId="14" xfId="1" applyFont="1" applyFill="1" applyBorder="1" applyAlignment="1">
      <alignment horizontal="center" vertical="center" wrapText="1"/>
    </xf>
    <xf numFmtId="164" fontId="2" fillId="2" borderId="15" xfId="1" applyFont="1" applyFill="1" applyBorder="1" applyAlignment="1">
      <alignment horizontal="center" vertical="center" wrapText="1"/>
    </xf>
    <xf numFmtId="169" fontId="2" fillId="2" borderId="21" xfId="1" applyNumberFormat="1" applyFont="1" applyFill="1" applyBorder="1" applyAlignment="1">
      <alignment horizontal="center" vertical="center" wrapText="1"/>
    </xf>
    <xf numFmtId="169" fontId="2" fillId="2" borderId="13" xfId="1" applyNumberFormat="1" applyFont="1" applyFill="1" applyBorder="1" applyAlignment="1">
      <alignment horizontal="center" vertical="center" wrapText="1"/>
    </xf>
    <xf numFmtId="169" fontId="2" fillId="2" borderId="35" xfId="1" applyNumberFormat="1" applyFont="1" applyFill="1" applyBorder="1" applyAlignment="1">
      <alignment horizontal="center" vertical="center" wrapText="1"/>
    </xf>
    <xf numFmtId="169" fontId="2" fillId="2" borderId="58" xfId="1" applyNumberFormat="1" applyFont="1" applyFill="1" applyBorder="1" applyAlignment="1">
      <alignment horizontal="center" vertical="center" wrapText="1"/>
    </xf>
    <xf numFmtId="169" fontId="2" fillId="2" borderId="36" xfId="1" applyNumberFormat="1" applyFont="1" applyFill="1" applyBorder="1" applyAlignment="1">
      <alignment horizontal="center" vertical="center" wrapText="1"/>
    </xf>
    <xf numFmtId="3" fontId="4" fillId="3" borderId="54" xfId="2" applyNumberFormat="1" applyFont="1" applyFill="1" applyBorder="1" applyAlignment="1">
      <alignment horizontal="right" vertical="center" wrapText="1"/>
    </xf>
    <xf numFmtId="164" fontId="2" fillId="2" borderId="55" xfId="1" applyFont="1" applyFill="1" applyBorder="1" applyAlignment="1">
      <alignment horizontal="center" vertical="center" wrapText="1"/>
    </xf>
    <xf numFmtId="164" fontId="2" fillId="2" borderId="22" xfId="1" applyFont="1" applyFill="1" applyBorder="1" applyAlignment="1">
      <alignment horizontal="center" vertical="center" wrapText="1"/>
    </xf>
    <xf numFmtId="164" fontId="2" fillId="2" borderId="27" xfId="1" applyFont="1" applyFill="1" applyBorder="1" applyAlignment="1">
      <alignment horizontal="center" vertical="center" wrapText="1"/>
    </xf>
    <xf numFmtId="0" fontId="29" fillId="0" borderId="19" xfId="0" applyFont="1" applyBorder="1" applyAlignment="1">
      <alignment horizontal="center"/>
    </xf>
    <xf numFmtId="0" fontId="28" fillId="3" borderId="23" xfId="0" applyFont="1" applyFill="1" applyBorder="1" applyAlignment="1">
      <alignment horizontal="left" vertical="center" wrapText="1"/>
    </xf>
    <xf numFmtId="0" fontId="28" fillId="3" borderId="58" xfId="0" applyFont="1" applyFill="1" applyBorder="1" applyAlignment="1">
      <alignment horizontal="left" vertical="center" wrapText="1"/>
    </xf>
    <xf numFmtId="0" fontId="54" fillId="3" borderId="0" xfId="0" applyFont="1" applyFill="1" applyAlignment="1">
      <alignment horizontal="left" vertical="center" wrapText="1"/>
    </xf>
    <xf numFmtId="7" fontId="17" fillId="3" borderId="21" xfId="3" applyNumberFormat="1" applyFont="1" applyFill="1" applyBorder="1" applyAlignment="1">
      <alignment horizontal="center" vertical="center" wrapText="1"/>
    </xf>
    <xf numFmtId="7" fontId="17" fillId="3" borderId="18" xfId="3" applyNumberFormat="1" applyFont="1" applyFill="1" applyBorder="1" applyAlignment="1">
      <alignment horizontal="center" vertical="center" wrapText="1"/>
    </xf>
    <xf numFmtId="7" fontId="17" fillId="3" borderId="13" xfId="3" applyNumberFormat="1" applyFont="1" applyFill="1" applyBorder="1" applyAlignment="1">
      <alignment horizontal="center" vertical="center" wrapText="1"/>
    </xf>
    <xf numFmtId="3" fontId="6" fillId="3" borderId="20" xfId="1" applyNumberFormat="1" applyFont="1" applyFill="1" applyBorder="1" applyAlignment="1">
      <alignment horizontal="right" vertical="center"/>
    </xf>
    <xf numFmtId="3" fontId="6" fillId="0" borderId="21" xfId="6" applyNumberFormat="1" applyFont="1" applyFill="1" applyBorder="1" applyAlignment="1">
      <alignment horizontal="right" vertical="center"/>
    </xf>
    <xf numFmtId="3" fontId="6" fillId="0" borderId="18" xfId="6" applyNumberFormat="1" applyFont="1" applyFill="1" applyBorder="1" applyAlignment="1">
      <alignment horizontal="right" vertical="center"/>
    </xf>
    <xf numFmtId="3" fontId="6" fillId="0" borderId="13" xfId="6" applyNumberFormat="1" applyFont="1" applyFill="1" applyBorder="1" applyAlignment="1">
      <alignment horizontal="right" vertical="center"/>
    </xf>
    <xf numFmtId="3" fontId="10" fillId="3" borderId="21" xfId="0" applyNumberFormat="1" applyFont="1" applyFill="1" applyBorder="1" applyAlignment="1">
      <alignment horizontal="right" vertical="center" wrapText="1"/>
    </xf>
    <xf numFmtId="3" fontId="10" fillId="3" borderId="13" xfId="0" applyNumberFormat="1" applyFont="1" applyFill="1" applyBorder="1" applyAlignment="1">
      <alignment horizontal="right" vertical="center" wrapText="1"/>
    </xf>
    <xf numFmtId="3" fontId="4" fillId="3" borderId="21" xfId="12" applyNumberFormat="1" applyFont="1" applyFill="1" applyBorder="1" applyAlignment="1">
      <alignment vertical="center" wrapText="1"/>
    </xf>
    <xf numFmtId="3" fontId="4" fillId="3" borderId="13" xfId="12" applyNumberFormat="1" applyFont="1" applyFill="1" applyBorder="1" applyAlignment="1">
      <alignment vertical="center" wrapText="1"/>
    </xf>
    <xf numFmtId="171" fontId="6" fillId="3" borderId="21" xfId="5" applyNumberFormat="1" applyFont="1" applyFill="1" applyBorder="1" applyAlignment="1">
      <alignment horizontal="right" vertical="center"/>
    </xf>
    <xf numFmtId="171" fontId="6" fillId="3" borderId="13" xfId="5" applyNumberFormat="1" applyFont="1" applyFill="1" applyBorder="1" applyAlignment="1">
      <alignment horizontal="right" vertical="center"/>
    </xf>
    <xf numFmtId="171" fontId="6" fillId="0" borderId="21" xfId="1" applyNumberFormat="1" applyFont="1" applyFill="1" applyBorder="1" applyAlignment="1">
      <alignment horizontal="right" vertical="center"/>
    </xf>
    <xf numFmtId="171" fontId="6" fillId="0" borderId="18" xfId="1" applyNumberFormat="1" applyFont="1" applyFill="1" applyBorder="1" applyAlignment="1">
      <alignment horizontal="right" vertical="center"/>
    </xf>
    <xf numFmtId="171" fontId="6" fillId="0" borderId="13" xfId="1" applyNumberFormat="1" applyFont="1" applyFill="1" applyBorder="1" applyAlignment="1">
      <alignment horizontal="right" vertical="center"/>
    </xf>
    <xf numFmtId="171" fontId="6" fillId="3" borderId="18" xfId="5" applyNumberFormat="1" applyFont="1" applyFill="1" applyBorder="1" applyAlignment="1">
      <alignment horizontal="right" vertical="center"/>
    </xf>
    <xf numFmtId="171" fontId="6" fillId="3" borderId="21" xfId="1" applyNumberFormat="1" applyFont="1" applyFill="1" applyBorder="1" applyAlignment="1">
      <alignment horizontal="right" vertical="center"/>
    </xf>
    <xf numFmtId="171" fontId="6" fillId="3" borderId="13" xfId="1" applyNumberFormat="1" applyFont="1" applyFill="1" applyBorder="1" applyAlignment="1">
      <alignment horizontal="right" vertical="center"/>
    </xf>
    <xf numFmtId="171" fontId="6" fillId="3" borderId="18" xfId="1" applyNumberFormat="1" applyFont="1" applyFill="1" applyBorder="1" applyAlignment="1">
      <alignment horizontal="right" vertical="center"/>
    </xf>
    <xf numFmtId="0" fontId="28" fillId="3" borderId="0" xfId="0" applyFont="1" applyFill="1" applyAlignment="1">
      <alignment vertical="center" wrapText="1"/>
    </xf>
    <xf numFmtId="3" fontId="6" fillId="0" borderId="21" xfId="1" applyNumberFormat="1" applyFont="1" applyFill="1" applyBorder="1" applyAlignment="1">
      <alignment horizontal="right" vertical="center"/>
    </xf>
    <xf numFmtId="3" fontId="6" fillId="0" borderId="18" xfId="1" applyNumberFormat="1" applyFont="1" applyFill="1" applyBorder="1" applyAlignment="1">
      <alignment horizontal="right" vertical="center"/>
    </xf>
    <xf numFmtId="3" fontId="6" fillId="0" borderId="13" xfId="1" applyNumberFormat="1" applyFont="1" applyFill="1" applyBorder="1" applyAlignment="1">
      <alignment horizontal="right" vertical="center"/>
    </xf>
    <xf numFmtId="9" fontId="6" fillId="3" borderId="20" xfId="5" applyFont="1" applyFill="1" applyBorder="1" applyAlignment="1">
      <alignment horizontal="center" vertical="center"/>
    </xf>
    <xf numFmtId="3" fontId="5" fillId="3" borderId="21" xfId="1" applyNumberFormat="1" applyFont="1" applyFill="1" applyBorder="1" applyAlignment="1">
      <alignment vertical="center" wrapText="1"/>
    </xf>
    <xf numFmtId="3" fontId="5" fillId="3" borderId="13" xfId="1" applyNumberFormat="1" applyFont="1" applyFill="1" applyBorder="1" applyAlignment="1">
      <alignment vertical="center" wrapText="1"/>
    </xf>
    <xf numFmtId="3" fontId="6" fillId="3" borderId="21" xfId="1" applyNumberFormat="1" applyFont="1" applyFill="1" applyBorder="1" applyAlignment="1">
      <alignment vertical="center" wrapText="1"/>
    </xf>
    <xf numFmtId="3" fontId="6" fillId="3" borderId="13" xfId="1" applyNumberFormat="1" applyFont="1" applyFill="1" applyBorder="1" applyAlignment="1">
      <alignment vertical="center" wrapText="1"/>
    </xf>
    <xf numFmtId="164" fontId="2" fillId="2" borderId="20" xfId="1" applyFont="1" applyFill="1" applyBorder="1" applyAlignment="1">
      <alignment horizontal="center" vertical="center" wrapText="1"/>
    </xf>
    <xf numFmtId="3" fontId="6" fillId="3" borderId="18" xfId="1" applyNumberFormat="1" applyFont="1" applyFill="1" applyBorder="1" applyAlignment="1">
      <alignment vertical="center" wrapText="1"/>
    </xf>
    <xf numFmtId="3" fontId="6" fillId="0" borderId="21" xfId="1" applyNumberFormat="1" applyFont="1" applyFill="1" applyBorder="1" applyAlignment="1">
      <alignment vertical="center" wrapText="1"/>
    </xf>
    <xf numFmtId="3" fontId="6" fillId="0" borderId="18" xfId="1" applyNumberFormat="1" applyFont="1" applyFill="1" applyBorder="1" applyAlignment="1">
      <alignment vertical="center" wrapText="1"/>
    </xf>
    <xf numFmtId="3" fontId="6" fillId="0" borderId="13" xfId="1" applyNumberFormat="1" applyFont="1" applyFill="1" applyBorder="1" applyAlignment="1">
      <alignment vertical="center" wrapText="1"/>
    </xf>
    <xf numFmtId="9" fontId="6" fillId="0" borderId="21" xfId="5" applyFont="1" applyFill="1" applyBorder="1" applyAlignment="1">
      <alignment horizontal="center" vertical="center"/>
    </xf>
    <xf numFmtId="9" fontId="6" fillId="0" borderId="18" xfId="5" applyFont="1" applyFill="1" applyBorder="1" applyAlignment="1">
      <alignment horizontal="center" vertical="center"/>
    </xf>
    <xf numFmtId="9" fontId="6" fillId="0" borderId="13" xfId="5" applyFont="1" applyFill="1" applyBorder="1" applyAlignment="1">
      <alignment horizontal="center" vertical="center"/>
    </xf>
    <xf numFmtId="3" fontId="4" fillId="3" borderId="21" xfId="1" applyNumberFormat="1" applyFont="1" applyFill="1" applyBorder="1" applyAlignment="1">
      <alignment vertical="center" wrapText="1"/>
    </xf>
    <xf numFmtId="3" fontId="4" fillId="3" borderId="18" xfId="1" applyNumberFormat="1" applyFont="1" applyFill="1" applyBorder="1" applyAlignment="1">
      <alignment vertical="center" wrapText="1"/>
    </xf>
    <xf numFmtId="3" fontId="4" fillId="3" borderId="13" xfId="1" applyNumberFormat="1" applyFont="1" applyFill="1" applyBorder="1" applyAlignment="1">
      <alignment vertical="center" wrapText="1"/>
    </xf>
    <xf numFmtId="3" fontId="6" fillId="3" borderId="21" xfId="6" applyNumberFormat="1" applyFont="1" applyFill="1" applyBorder="1" applyAlignment="1">
      <alignment vertical="center"/>
    </xf>
    <xf numFmtId="3" fontId="6" fillId="3" borderId="18" xfId="6" applyNumberFormat="1" applyFont="1" applyFill="1" applyBorder="1" applyAlignment="1">
      <alignment vertical="center"/>
    </xf>
    <xf numFmtId="3" fontId="6" fillId="3" borderId="13" xfId="6" applyNumberFormat="1" applyFont="1" applyFill="1" applyBorder="1" applyAlignment="1">
      <alignment vertical="center"/>
    </xf>
    <xf numFmtId="3" fontId="4" fillId="3" borderId="21" xfId="2" applyNumberFormat="1" applyFont="1" applyFill="1" applyBorder="1" applyAlignment="1">
      <alignment vertical="center" wrapText="1"/>
    </xf>
    <xf numFmtId="3" fontId="4" fillId="3" borderId="13" xfId="2" applyNumberFormat="1" applyFont="1" applyFill="1" applyBorder="1" applyAlignment="1">
      <alignment vertical="center" wrapText="1"/>
    </xf>
    <xf numFmtId="0" fontId="29" fillId="0" borderId="0" xfId="0" applyFont="1" applyAlignment="1">
      <alignment horizontal="center"/>
    </xf>
    <xf numFmtId="3" fontId="6" fillId="3" borderId="21" xfId="0" applyNumberFormat="1" applyFont="1" applyFill="1" applyBorder="1" applyAlignment="1">
      <alignment horizontal="right" vertical="center" wrapText="1"/>
    </xf>
    <xf numFmtId="3" fontId="6" fillId="3" borderId="13" xfId="0" applyNumberFormat="1" applyFont="1" applyFill="1" applyBorder="1" applyAlignment="1">
      <alignment horizontal="right" vertical="center" wrapText="1"/>
    </xf>
    <xf numFmtId="9" fontId="4" fillId="3" borderId="21" xfId="5" applyFont="1" applyFill="1" applyBorder="1" applyAlignment="1">
      <alignment horizontal="center" vertical="center" wrapText="1"/>
    </xf>
    <xf numFmtId="9" fontId="4" fillId="3" borderId="13" xfId="5" applyFont="1" applyFill="1" applyBorder="1" applyAlignment="1">
      <alignment horizontal="center" vertical="center" wrapText="1"/>
    </xf>
    <xf numFmtId="169" fontId="6" fillId="3" borderId="21" xfId="1" applyNumberFormat="1" applyFont="1" applyFill="1" applyBorder="1" applyAlignment="1">
      <alignment horizontal="center" vertical="center"/>
    </xf>
    <xf numFmtId="169" fontId="6" fillId="3" borderId="18" xfId="1" applyNumberFormat="1" applyFont="1" applyFill="1" applyBorder="1" applyAlignment="1">
      <alignment horizontal="center" vertical="center"/>
    </xf>
    <xf numFmtId="169" fontId="6" fillId="3" borderId="13" xfId="1" applyNumberFormat="1" applyFont="1" applyFill="1" applyBorder="1" applyAlignment="1">
      <alignment horizontal="center" vertical="center"/>
    </xf>
    <xf numFmtId="7" fontId="17" fillId="3" borderId="54" xfId="3" quotePrefix="1" applyNumberFormat="1" applyFont="1" applyFill="1" applyBorder="1" applyAlignment="1">
      <alignment horizontal="center" vertical="center" wrapText="1"/>
    </xf>
    <xf numFmtId="7" fontId="17" fillId="3" borderId="54" xfId="3" applyNumberFormat="1" applyFont="1" applyFill="1" applyBorder="1" applyAlignment="1">
      <alignment horizontal="center" vertical="center" wrapText="1"/>
    </xf>
    <xf numFmtId="3" fontId="6" fillId="3" borderId="54" xfId="1" applyNumberFormat="1" applyFont="1" applyFill="1" applyBorder="1" applyAlignment="1">
      <alignment vertical="center"/>
    </xf>
    <xf numFmtId="0" fontId="29" fillId="0" borderId="19" xfId="0" applyFont="1" applyBorder="1" applyAlignment="1">
      <alignment horizontal="center" wrapText="1"/>
    </xf>
    <xf numFmtId="3" fontId="4" fillId="3" borderId="20" xfId="2" applyNumberFormat="1" applyFont="1" applyFill="1" applyBorder="1" applyAlignment="1">
      <alignment horizontal="right" vertical="center" wrapText="1"/>
    </xf>
    <xf numFmtId="172" fontId="6" fillId="0" borderId="20" xfId="5" applyNumberFormat="1" applyFont="1" applyFill="1" applyBorder="1" applyAlignment="1">
      <alignment horizontal="center" vertical="center"/>
    </xf>
    <xf numFmtId="3" fontId="10" fillId="0" borderId="20" xfId="2" applyNumberFormat="1" applyFont="1" applyFill="1" applyBorder="1" applyAlignment="1">
      <alignment horizontal="right" vertical="center" wrapText="1"/>
    </xf>
    <xf numFmtId="169" fontId="6" fillId="0" borderId="21" xfId="1" applyNumberFormat="1" applyFont="1" applyFill="1" applyBorder="1" applyAlignment="1">
      <alignment horizontal="center" vertical="center"/>
    </xf>
    <xf numFmtId="169" fontId="6" fillId="0" borderId="13" xfId="1" applyNumberFormat="1" applyFont="1" applyFill="1" applyBorder="1" applyAlignment="1">
      <alignment horizontal="center" vertical="center"/>
    </xf>
    <xf numFmtId="3" fontId="4" fillId="3" borderId="54" xfId="1" applyNumberFormat="1" applyFont="1" applyFill="1" applyBorder="1" applyAlignment="1">
      <alignment vertical="center" wrapText="1"/>
    </xf>
    <xf numFmtId="169" fontId="6" fillId="0" borderId="18" xfId="1" applyNumberFormat="1" applyFont="1" applyFill="1" applyBorder="1" applyAlignment="1">
      <alignment horizontal="center" vertical="center"/>
    </xf>
    <xf numFmtId="0" fontId="30" fillId="3" borderId="0" xfId="0" applyFont="1" applyFill="1" applyAlignment="1">
      <alignment horizontal="left" vertical="center"/>
    </xf>
    <xf numFmtId="49" fontId="4" fillId="0" borderId="21" xfId="3" applyNumberFormat="1" applyFont="1" applyBorder="1" applyAlignment="1">
      <alignment horizontal="center" vertical="center" wrapText="1"/>
    </xf>
    <xf numFmtId="49" fontId="4" fillId="0" borderId="18" xfId="3" applyNumberFormat="1" applyFont="1" applyBorder="1" applyAlignment="1">
      <alignment horizontal="center" vertical="center" wrapText="1"/>
    </xf>
    <xf numFmtId="49" fontId="4" fillId="0" borderId="13" xfId="3" applyNumberFormat="1" applyFont="1" applyBorder="1" applyAlignment="1">
      <alignment horizontal="center" vertical="center" wrapText="1"/>
    </xf>
    <xf numFmtId="0" fontId="5" fillId="0" borderId="21" xfId="0" applyFont="1" applyBorder="1" applyAlignment="1">
      <alignment horizontal="center" vertical="center" wrapText="1" readingOrder="1"/>
    </xf>
    <xf numFmtId="0" fontId="5" fillId="0" borderId="18" xfId="0" applyFont="1" applyBorder="1" applyAlignment="1">
      <alignment horizontal="center" vertical="center" wrapText="1" readingOrder="1"/>
    </xf>
    <xf numFmtId="0" fontId="5" fillId="0" borderId="13" xfId="0" applyFont="1" applyBorder="1" applyAlignment="1">
      <alignment horizontal="center" vertical="center" wrapText="1" readingOrder="1"/>
    </xf>
    <xf numFmtId="0" fontId="6" fillId="0" borderId="54" xfId="0" applyFont="1" applyBorder="1" applyAlignment="1">
      <alignment horizontal="center" vertical="center" wrapText="1"/>
    </xf>
    <xf numFmtId="0" fontId="10" fillId="0" borderId="21" xfId="0" applyFont="1" applyBorder="1" applyAlignment="1">
      <alignment horizontal="center" vertical="center" wrapText="1" readingOrder="1"/>
    </xf>
    <xf numFmtId="0" fontId="10" fillId="0" borderId="18"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3" fontId="10" fillId="3" borderId="21" xfId="0" applyNumberFormat="1" applyFont="1" applyFill="1" applyBorder="1" applyAlignment="1">
      <alignment horizontal="right" vertical="center" wrapText="1" readingOrder="1"/>
    </xf>
    <xf numFmtId="3" fontId="10" fillId="3" borderId="18" xfId="0" applyNumberFormat="1" applyFont="1" applyFill="1" applyBorder="1" applyAlignment="1">
      <alignment horizontal="right" vertical="center" wrapText="1" readingOrder="1"/>
    </xf>
    <xf numFmtId="3" fontId="10" fillId="3" borderId="13" xfId="0" applyNumberFormat="1" applyFont="1" applyFill="1" applyBorder="1" applyAlignment="1">
      <alignment horizontal="right" vertical="center" wrapText="1" readingOrder="1"/>
    </xf>
    <xf numFmtId="0" fontId="6" fillId="0" borderId="55" xfId="0" applyFont="1" applyBorder="1" applyAlignment="1">
      <alignment horizontal="center" vertical="center" wrapText="1"/>
    </xf>
    <xf numFmtId="0" fontId="6" fillId="0" borderId="27" xfId="0" applyFont="1" applyBorder="1" applyAlignment="1">
      <alignment horizontal="center" vertical="center" wrapText="1"/>
    </xf>
    <xf numFmtId="0" fontId="5" fillId="0" borderId="21" xfId="0" applyFont="1" applyBorder="1" applyAlignment="1">
      <alignment horizontal="left" vertical="center" wrapText="1" readingOrder="1"/>
    </xf>
    <xf numFmtId="0" fontId="5" fillId="0" borderId="18" xfId="0" applyFont="1" applyBorder="1" applyAlignment="1">
      <alignment horizontal="left" vertical="center" wrapText="1" readingOrder="1"/>
    </xf>
    <xf numFmtId="0" fontId="5" fillId="0" borderId="13" xfId="0" applyFont="1" applyBorder="1" applyAlignment="1">
      <alignment horizontal="left" vertical="center" wrapText="1" readingOrder="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49" fontId="4" fillId="0" borderId="54" xfId="3" applyNumberFormat="1" applyFont="1" applyBorder="1" applyAlignment="1">
      <alignment horizontal="center" vertical="center" wrapText="1"/>
    </xf>
    <xf numFmtId="0" fontId="5" fillId="0" borderId="54" xfId="0" applyFont="1" applyBorder="1" applyAlignment="1">
      <alignment horizontal="left" vertical="center" wrapText="1" readingOrder="1"/>
    </xf>
    <xf numFmtId="0" fontId="10" fillId="0" borderId="54" xfId="0" applyFont="1" applyBorder="1" applyAlignment="1">
      <alignment horizontal="center" vertical="center" wrapText="1" readingOrder="1"/>
    </xf>
    <xf numFmtId="3" fontId="6" fillId="3" borderId="54" xfId="0" applyNumberFormat="1" applyFont="1" applyFill="1" applyBorder="1" applyAlignment="1">
      <alignment horizontal="right" vertical="center"/>
    </xf>
    <xf numFmtId="0" fontId="10" fillId="3" borderId="21" xfId="0" applyFont="1" applyFill="1" applyBorder="1" applyAlignment="1">
      <alignment horizontal="center" vertical="center" wrapText="1" readingOrder="1"/>
    </xf>
    <xf numFmtId="0" fontId="10" fillId="3" borderId="18" xfId="0" applyFont="1" applyFill="1" applyBorder="1" applyAlignment="1">
      <alignment horizontal="center" vertical="center" wrapText="1" readingOrder="1"/>
    </xf>
    <xf numFmtId="0" fontId="10" fillId="3" borderId="13" xfId="0" applyFont="1" applyFill="1" applyBorder="1" applyAlignment="1">
      <alignment horizontal="center" vertical="center" wrapText="1" readingOrder="1"/>
    </xf>
    <xf numFmtId="0" fontId="5" fillId="3" borderId="21" xfId="0" applyFont="1" applyFill="1" applyBorder="1" applyAlignment="1">
      <alignment horizontal="center" vertical="center" wrapText="1" readingOrder="1"/>
    </xf>
    <xf numFmtId="0" fontId="5" fillId="3" borderId="13" xfId="0" applyFont="1" applyFill="1" applyBorder="1" applyAlignment="1">
      <alignment horizontal="center" vertical="center" wrapText="1" readingOrder="1"/>
    </xf>
    <xf numFmtId="49" fontId="17" fillId="0" borderId="20" xfId="3" applyNumberFormat="1" applyFont="1" applyBorder="1" applyAlignment="1">
      <alignment horizontal="center" wrapText="1"/>
    </xf>
    <xf numFmtId="0" fontId="6" fillId="0" borderId="23" xfId="0" applyFont="1" applyBorder="1" applyAlignment="1">
      <alignment horizontal="left" vertical="center" wrapText="1"/>
    </xf>
    <xf numFmtId="49" fontId="4" fillId="3" borderId="20" xfId="3" applyNumberFormat="1" applyFont="1" applyFill="1" applyBorder="1" applyAlignment="1">
      <alignment horizontal="center" vertical="center" wrapText="1"/>
    </xf>
    <xf numFmtId="0" fontId="5" fillId="3" borderId="20" xfId="0" applyFont="1" applyFill="1" applyBorder="1" applyAlignment="1">
      <alignment horizontal="left" vertical="center" wrapText="1" readingOrder="1"/>
    </xf>
    <xf numFmtId="0" fontId="5" fillId="3" borderId="21" xfId="0" applyFont="1" applyFill="1" applyBorder="1" applyAlignment="1">
      <alignment horizontal="left" vertical="center" wrapText="1" readingOrder="1"/>
    </xf>
    <xf numFmtId="0" fontId="5" fillId="3" borderId="13" xfId="0" applyFont="1" applyFill="1" applyBorder="1" applyAlignment="1">
      <alignment horizontal="left" vertical="center" wrapText="1" readingOrder="1"/>
    </xf>
    <xf numFmtId="167" fontId="10" fillId="3" borderId="31" xfId="2" applyNumberFormat="1" applyFont="1" applyFill="1" applyBorder="1" applyAlignment="1">
      <alignment horizontal="center" vertical="center" wrapText="1" readingOrder="1"/>
    </xf>
    <xf numFmtId="167" fontId="10" fillId="3" borderId="13" xfId="2" applyNumberFormat="1" applyFont="1" applyFill="1" applyBorder="1" applyAlignment="1">
      <alignment horizontal="center" vertical="center" wrapText="1" readingOrder="1"/>
    </xf>
    <xf numFmtId="49" fontId="4" fillId="3" borderId="54" xfId="3" applyNumberFormat="1" applyFont="1" applyFill="1" applyBorder="1" applyAlignment="1">
      <alignment horizontal="center" vertical="center" wrapText="1"/>
    </xf>
    <xf numFmtId="0" fontId="6" fillId="3" borderId="54" xfId="0" applyFont="1" applyFill="1" applyBorder="1" applyAlignment="1">
      <alignment horizontal="center" vertical="center" wrapText="1"/>
    </xf>
    <xf numFmtId="0" fontId="6" fillId="3" borderId="54" xfId="0" applyFont="1" applyFill="1" applyBorder="1" applyAlignment="1">
      <alignment horizontal="right" vertical="center"/>
    </xf>
    <xf numFmtId="3" fontId="10" fillId="3" borderId="20" xfId="0" applyNumberFormat="1" applyFont="1" applyFill="1" applyBorder="1" applyAlignment="1">
      <alignment horizontal="right" vertical="center" wrapText="1" readingOrder="1"/>
    </xf>
    <xf numFmtId="0" fontId="5" fillId="3" borderId="20"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7" fillId="0" borderId="19" xfId="0" applyFont="1" applyBorder="1" applyAlignment="1">
      <alignment horizontal="center" vertical="center"/>
    </xf>
    <xf numFmtId="0" fontId="5" fillId="3" borderId="18" xfId="0" applyFont="1" applyFill="1" applyBorder="1" applyAlignment="1">
      <alignment horizontal="left" vertical="center" wrapText="1"/>
    </xf>
    <xf numFmtId="3" fontId="10" fillId="3" borderId="54" xfId="0" applyNumberFormat="1" applyFont="1" applyFill="1" applyBorder="1" applyAlignment="1">
      <alignment horizontal="right" vertical="center" wrapText="1" readingOrder="1"/>
    </xf>
    <xf numFmtId="0" fontId="15" fillId="3" borderId="54" xfId="9" applyFont="1" applyFill="1" applyBorder="1" applyAlignment="1">
      <alignment vertical="center" wrapText="1"/>
    </xf>
    <xf numFmtId="0" fontId="15" fillId="3" borderId="54" xfId="9" applyFont="1" applyFill="1" applyBorder="1" applyAlignment="1">
      <alignment horizontal="center" vertical="center" wrapText="1"/>
    </xf>
    <xf numFmtId="49" fontId="17" fillId="0" borderId="26" xfId="3" applyNumberFormat="1" applyFont="1" applyBorder="1" applyAlignment="1">
      <alignment horizontal="center" wrapText="1"/>
    </xf>
    <xf numFmtId="49" fontId="17" fillId="0" borderId="22" xfId="3" applyNumberFormat="1" applyFont="1" applyBorder="1" applyAlignment="1">
      <alignment horizontal="center" wrapText="1"/>
    </xf>
    <xf numFmtId="49" fontId="17" fillId="0" borderId="27" xfId="3" applyNumberFormat="1" applyFont="1" applyBorder="1" applyAlignment="1">
      <alignment horizontal="center" wrapText="1"/>
    </xf>
    <xf numFmtId="0" fontId="15" fillId="3" borderId="54" xfId="9" applyFont="1" applyFill="1" applyBorder="1" applyAlignment="1">
      <alignment horizontal="left" vertical="center" wrapText="1"/>
    </xf>
    <xf numFmtId="0" fontId="26" fillId="2" borderId="29" xfId="0" applyFont="1" applyFill="1" applyBorder="1" applyAlignment="1">
      <alignment horizontal="center" vertical="center" wrapText="1" readingOrder="1"/>
    </xf>
    <xf numFmtId="0" fontId="26" fillId="2" borderId="52" xfId="0" applyFont="1" applyFill="1" applyBorder="1" applyAlignment="1">
      <alignment horizontal="center" vertical="center" wrapText="1" readingOrder="1"/>
    </xf>
    <xf numFmtId="0" fontId="26" fillId="2" borderId="16" xfId="0" applyFont="1" applyFill="1" applyBorder="1" applyAlignment="1">
      <alignment horizontal="center" vertical="center" wrapText="1" readingOrder="1"/>
    </xf>
    <xf numFmtId="0" fontId="26" fillId="2" borderId="9" xfId="0" applyFont="1" applyFill="1" applyBorder="1" applyAlignment="1">
      <alignment horizontal="center" vertical="center" wrapText="1" readingOrder="1"/>
    </xf>
    <xf numFmtId="0" fontId="26" fillId="2" borderId="53" xfId="0" applyFont="1" applyFill="1" applyBorder="1" applyAlignment="1">
      <alignment horizontal="center" vertical="center" wrapText="1" readingOrder="1"/>
    </xf>
    <xf numFmtId="0" fontId="60" fillId="0" borderId="0" xfId="0" applyFont="1" applyAlignment="1">
      <alignment horizontal="center" vertical="center" readingOrder="1"/>
    </xf>
    <xf numFmtId="0" fontId="35" fillId="3" borderId="0" xfId="0" applyFont="1" applyFill="1" applyAlignment="1">
      <alignment horizontal="center" wrapText="1"/>
    </xf>
    <xf numFmtId="0" fontId="16" fillId="2" borderId="20" xfId="0" applyFont="1" applyFill="1" applyBorder="1" applyAlignment="1">
      <alignment horizontal="center" vertical="center" wrapText="1" readingOrder="1"/>
    </xf>
    <xf numFmtId="0" fontId="16" fillId="2" borderId="24" xfId="0" applyFont="1" applyFill="1" applyBorder="1" applyAlignment="1">
      <alignment horizontal="center" vertical="center" wrapText="1" readingOrder="1"/>
    </xf>
    <xf numFmtId="0" fontId="16" fillId="2" borderId="25" xfId="0" applyFont="1" applyFill="1" applyBorder="1" applyAlignment="1">
      <alignment horizontal="center" vertical="center" wrapText="1" readingOrder="1"/>
    </xf>
    <xf numFmtId="0" fontId="16" fillId="2" borderId="17" xfId="0" applyFont="1" applyFill="1" applyBorder="1" applyAlignment="1">
      <alignment horizontal="center" vertical="center" wrapText="1" readingOrder="1"/>
    </xf>
    <xf numFmtId="0" fontId="16" fillId="2" borderId="3" xfId="0" applyFont="1" applyFill="1" applyBorder="1" applyAlignment="1">
      <alignment horizontal="center" vertical="center" wrapText="1" readingOrder="1"/>
    </xf>
    <xf numFmtId="0" fontId="16" fillId="2" borderId="14" xfId="0" applyFont="1" applyFill="1" applyBorder="1" applyAlignment="1">
      <alignment horizontal="center" vertical="center" wrapText="1" readingOrder="1"/>
    </xf>
    <xf numFmtId="0" fontId="16" fillId="2" borderId="15" xfId="0" applyFont="1" applyFill="1" applyBorder="1" applyAlignment="1">
      <alignment horizontal="center" vertical="center" wrapText="1" readingOrder="1"/>
    </xf>
    <xf numFmtId="0" fontId="16" fillId="2" borderId="21" xfId="0" applyFont="1" applyFill="1" applyBorder="1" applyAlignment="1">
      <alignment horizontal="center" vertical="center" wrapText="1" readingOrder="1"/>
    </xf>
    <xf numFmtId="0" fontId="16" fillId="2" borderId="18" xfId="0" applyFont="1" applyFill="1" applyBorder="1" applyAlignment="1">
      <alignment horizontal="center" vertical="center" wrapText="1" readingOrder="1"/>
    </xf>
    <xf numFmtId="0" fontId="16" fillId="2" borderId="28" xfId="0" applyFont="1" applyFill="1" applyBorder="1" applyAlignment="1">
      <alignment horizontal="center" vertical="center" wrapText="1" readingOrder="1"/>
    </xf>
    <xf numFmtId="0" fontId="16" fillId="2" borderId="13" xfId="0" applyFont="1" applyFill="1" applyBorder="1" applyAlignment="1">
      <alignment horizontal="center" vertical="center" wrapText="1" readingOrder="1"/>
    </xf>
    <xf numFmtId="0" fontId="16" fillId="2" borderId="26" xfId="0" applyFont="1" applyFill="1" applyBorder="1" applyAlignment="1">
      <alignment horizontal="center" vertical="center" wrapText="1" readingOrder="1"/>
    </xf>
    <xf numFmtId="0" fontId="16" fillId="2" borderId="22" xfId="0" applyFont="1" applyFill="1" applyBorder="1" applyAlignment="1">
      <alignment horizontal="center" vertical="center" wrapText="1" readingOrder="1"/>
    </xf>
    <xf numFmtId="0" fontId="16" fillId="2" borderId="27" xfId="0" applyFont="1" applyFill="1" applyBorder="1" applyAlignment="1">
      <alignment horizontal="center" vertical="center" wrapText="1" readingOrder="1"/>
    </xf>
    <xf numFmtId="167" fontId="14" fillId="2" borderId="21" xfId="0" applyNumberFormat="1" applyFont="1" applyFill="1" applyBorder="1" applyAlignment="1">
      <alignment horizontal="center" vertical="center" wrapText="1"/>
    </xf>
    <xf numFmtId="167" fontId="14" fillId="2" borderId="18" xfId="0" applyNumberFormat="1" applyFont="1" applyFill="1" applyBorder="1" applyAlignment="1">
      <alignment horizontal="center" vertical="center" wrapText="1"/>
    </xf>
    <xf numFmtId="3" fontId="10" fillId="3" borderId="21" xfId="0" applyNumberFormat="1" applyFont="1" applyFill="1" applyBorder="1" applyAlignment="1">
      <alignment horizontal="center" vertical="center" wrapText="1" readingOrder="1"/>
    </xf>
    <xf numFmtId="3" fontId="10" fillId="3" borderId="13" xfId="0" applyNumberFormat="1" applyFont="1" applyFill="1" applyBorder="1" applyAlignment="1">
      <alignment horizontal="center" vertical="center" wrapText="1" readingOrder="1"/>
    </xf>
    <xf numFmtId="0" fontId="10" fillId="0" borderId="0" xfId="0" applyFont="1" applyAlignment="1">
      <alignment horizontal="left" vertical="center" wrapText="1" readingOrder="1"/>
    </xf>
    <xf numFmtId="3" fontId="10" fillId="3" borderId="18" xfId="0" applyNumberFormat="1" applyFont="1" applyFill="1" applyBorder="1" applyAlignment="1">
      <alignment horizontal="center" vertical="center" wrapText="1" readingOrder="1"/>
    </xf>
    <xf numFmtId="0" fontId="10" fillId="0" borderId="23" xfId="0" applyFont="1" applyBorder="1" applyAlignment="1">
      <alignment horizontal="left" vertical="center" readingOrder="1"/>
    </xf>
    <xf numFmtId="3" fontId="10" fillId="3" borderId="10" xfId="0" applyNumberFormat="1" applyFont="1" applyFill="1" applyBorder="1" applyAlignment="1">
      <alignment horizontal="right" vertical="center" wrapText="1" readingOrder="1"/>
    </xf>
    <xf numFmtId="3" fontId="10" fillId="3" borderId="11" xfId="0" applyNumberFormat="1" applyFont="1" applyFill="1" applyBorder="1" applyAlignment="1">
      <alignment horizontal="right" vertical="center" wrapText="1" readingOrder="1"/>
    </xf>
    <xf numFmtId="3" fontId="10" fillId="3" borderId="34" xfId="0" applyNumberFormat="1" applyFont="1" applyFill="1" applyBorder="1" applyAlignment="1">
      <alignment horizontal="center" vertical="center" wrapText="1" readingOrder="1"/>
    </xf>
    <xf numFmtId="3" fontId="10" fillId="3" borderId="0" xfId="0" applyNumberFormat="1" applyFont="1" applyFill="1" applyAlignment="1">
      <alignment horizontal="center" vertical="center" wrapText="1" readingOrder="1"/>
    </xf>
    <xf numFmtId="3" fontId="10" fillId="3" borderId="19" xfId="0" applyNumberFormat="1" applyFont="1" applyFill="1" applyBorder="1" applyAlignment="1">
      <alignment horizontal="center" vertical="center" wrapText="1" readingOrder="1"/>
    </xf>
    <xf numFmtId="0" fontId="10" fillId="0" borderId="48" xfId="0" applyFont="1" applyBorder="1" applyAlignment="1">
      <alignment horizontal="center" vertical="center" wrapText="1" readingOrder="1"/>
    </xf>
    <xf numFmtId="0" fontId="10" fillId="0" borderId="49" xfId="0" applyFont="1" applyBorder="1" applyAlignment="1">
      <alignment horizontal="center" vertical="center" wrapText="1" readingOrder="1"/>
    </xf>
    <xf numFmtId="0" fontId="10" fillId="0" borderId="50" xfId="0" applyFont="1" applyBorder="1" applyAlignment="1">
      <alignment horizontal="center" vertical="center" wrapText="1" readingOrder="1"/>
    </xf>
    <xf numFmtId="0" fontId="10" fillId="0" borderId="31" xfId="0" applyFont="1" applyBorder="1" applyAlignment="1">
      <alignment horizontal="center" vertical="center" wrapText="1" readingOrder="1"/>
    </xf>
    <xf numFmtId="0" fontId="52" fillId="0" borderId="23" xfId="0" applyFont="1" applyBorder="1" applyAlignment="1">
      <alignment horizontal="left" wrapText="1"/>
    </xf>
    <xf numFmtId="0" fontId="15" fillId="0" borderId="23" xfId="0" applyFont="1" applyBorder="1" applyAlignment="1">
      <alignment horizontal="left" wrapText="1"/>
    </xf>
    <xf numFmtId="0" fontId="16" fillId="2" borderId="35" xfId="0" applyFont="1" applyFill="1" applyBorder="1" applyAlignment="1">
      <alignment horizontal="center" vertical="center" wrapText="1" readingOrder="1"/>
    </xf>
    <xf numFmtId="0" fontId="16" fillId="2" borderId="36" xfId="0" applyFont="1" applyFill="1" applyBorder="1" applyAlignment="1">
      <alignment horizontal="center" vertical="center" wrapText="1" readingOrder="1"/>
    </xf>
    <xf numFmtId="0" fontId="10" fillId="3" borderId="0" xfId="0" quotePrefix="1" applyFont="1" applyFill="1" applyAlignment="1">
      <alignment horizontal="left" vertical="center" readingOrder="1"/>
    </xf>
    <xf numFmtId="0" fontId="12" fillId="0" borderId="12" xfId="0" applyFont="1" applyBorder="1" applyAlignment="1">
      <alignment horizontal="left" wrapText="1"/>
    </xf>
    <xf numFmtId="0" fontId="12" fillId="0" borderId="19" xfId="0" applyFont="1" applyBorder="1" applyAlignment="1">
      <alignment horizontal="left" wrapText="1"/>
    </xf>
    <xf numFmtId="0" fontId="16" fillId="2" borderId="58" xfId="0" applyFont="1" applyFill="1" applyBorder="1" applyAlignment="1">
      <alignment horizontal="center" vertical="center" wrapText="1" readingOrder="1"/>
    </xf>
    <xf numFmtId="0" fontId="16" fillId="2" borderId="19" xfId="0" applyFont="1" applyFill="1" applyBorder="1" applyAlignment="1">
      <alignment horizontal="center" vertical="center" wrapText="1" readingOrder="1"/>
    </xf>
    <xf numFmtId="0" fontId="16" fillId="2" borderId="55" xfId="0" applyFont="1" applyFill="1" applyBorder="1" applyAlignment="1">
      <alignment horizontal="center" vertical="center" wrapText="1" readingOrder="1"/>
    </xf>
    <xf numFmtId="0" fontId="28" fillId="3" borderId="23" xfId="0" applyFont="1" applyFill="1" applyBorder="1" applyAlignment="1">
      <alignment horizontal="left" wrapText="1"/>
    </xf>
    <xf numFmtId="167" fontId="14" fillId="2" borderId="13" xfId="0" applyNumberFormat="1" applyFont="1" applyFill="1" applyBorder="1" applyAlignment="1">
      <alignment horizontal="center" vertical="center" wrapText="1"/>
    </xf>
    <xf numFmtId="0" fontId="28" fillId="3" borderId="0" xfId="0" applyFont="1" applyFill="1" applyAlignment="1">
      <alignment horizontal="left" wrapText="1"/>
    </xf>
    <xf numFmtId="0" fontId="6" fillId="0" borderId="23" xfId="0" applyFont="1" applyBorder="1" applyAlignment="1">
      <alignment horizontal="left"/>
    </xf>
    <xf numFmtId="0" fontId="15" fillId="0" borderId="19" xfId="0" applyFont="1" applyBorder="1" applyAlignment="1">
      <alignment horizontal="left" wrapText="1"/>
    </xf>
    <xf numFmtId="0" fontId="10" fillId="3" borderId="31" xfId="0" applyFont="1" applyFill="1" applyBorder="1" applyAlignment="1">
      <alignment horizontal="center" vertical="center" wrapText="1" readingOrder="1"/>
    </xf>
    <xf numFmtId="0" fontId="23" fillId="0" borderId="19" xfId="0" applyFont="1" applyBorder="1" applyAlignment="1">
      <alignment horizontal="left" wrapText="1"/>
    </xf>
    <xf numFmtId="0" fontId="10" fillId="3" borderId="14" xfId="0" applyFont="1" applyFill="1" applyBorder="1" applyAlignment="1">
      <alignment horizontal="center" vertical="center" wrapText="1" readingOrder="1"/>
    </xf>
    <xf numFmtId="0" fontId="10" fillId="3" borderId="19" xfId="0" applyFont="1" applyFill="1" applyBorder="1" applyAlignment="1">
      <alignment horizontal="center" vertical="center" wrapText="1" readingOrder="1"/>
    </xf>
    <xf numFmtId="0" fontId="10" fillId="3" borderId="15" xfId="0" applyFont="1" applyFill="1" applyBorder="1" applyAlignment="1">
      <alignment horizontal="center" vertical="center" wrapText="1" readingOrder="1"/>
    </xf>
    <xf numFmtId="0" fontId="23" fillId="0" borderId="19" xfId="0" applyFont="1" applyBorder="1" applyAlignment="1">
      <alignment horizontal="left" vertical="top" wrapText="1"/>
    </xf>
    <xf numFmtId="0" fontId="6" fillId="0" borderId="23" xfId="0" applyFont="1" applyBorder="1" applyAlignment="1">
      <alignment horizontal="center"/>
    </xf>
    <xf numFmtId="0" fontId="35" fillId="0" borderId="0" xfId="0" applyFont="1" applyAlignment="1">
      <alignment horizontal="right" vertical="center" wrapText="1"/>
    </xf>
    <xf numFmtId="3" fontId="5" fillId="0" borderId="54" xfId="0" applyNumberFormat="1" applyFont="1" applyBorder="1" applyAlignment="1">
      <alignment horizontal="right" vertical="center" wrapText="1" readingOrder="1"/>
    </xf>
    <xf numFmtId="10" fontId="5" fillId="0" borderId="54" xfId="0" applyNumberFormat="1" applyFont="1" applyBorder="1" applyAlignment="1">
      <alignment horizontal="center" vertical="center" wrapText="1" readingOrder="1"/>
    </xf>
    <xf numFmtId="0" fontId="2" fillId="0" borderId="54" xfId="0" applyFont="1" applyBorder="1" applyAlignment="1">
      <alignment horizontal="right" vertical="center" wrapText="1" readingOrder="1"/>
    </xf>
    <xf numFmtId="0" fontId="2" fillId="0" borderId="21" xfId="0" applyFont="1" applyBorder="1" applyAlignment="1">
      <alignment horizontal="center" vertical="center" wrapText="1" readingOrder="1"/>
    </xf>
    <xf numFmtId="0" fontId="2" fillId="0" borderId="18" xfId="0" applyFont="1" applyBorder="1" applyAlignment="1">
      <alignment horizontal="center" vertical="center" wrapText="1" readingOrder="1"/>
    </xf>
    <xf numFmtId="0" fontId="2" fillId="0" borderId="13" xfId="0" applyFont="1" applyBorder="1" applyAlignment="1">
      <alignment horizontal="center" vertical="center" wrapText="1" readingOrder="1"/>
    </xf>
    <xf numFmtId="3" fontId="5" fillId="0" borderId="21" xfId="0" applyNumberFormat="1" applyFont="1" applyBorder="1" applyAlignment="1">
      <alignment vertical="center" wrapText="1"/>
    </xf>
    <xf numFmtId="3" fontId="5" fillId="0" borderId="18" xfId="0" applyNumberFormat="1" applyFont="1" applyBorder="1" applyAlignment="1">
      <alignment vertical="center" wrapText="1"/>
    </xf>
    <xf numFmtId="3" fontId="5" fillId="0" borderId="13" xfId="0" applyNumberFormat="1" applyFont="1" applyBorder="1" applyAlignment="1">
      <alignment vertical="center" wrapText="1"/>
    </xf>
    <xf numFmtId="3" fontId="5" fillId="3" borderId="21" xfId="0" applyNumberFormat="1" applyFont="1" applyFill="1" applyBorder="1" applyAlignment="1">
      <alignment vertical="center" wrapText="1"/>
    </xf>
    <xf numFmtId="3" fontId="5" fillId="3" borderId="18" xfId="0" applyNumberFormat="1" applyFont="1" applyFill="1" applyBorder="1" applyAlignment="1">
      <alignment vertical="center" wrapText="1"/>
    </xf>
    <xf numFmtId="3" fontId="5" fillId="3" borderId="13" xfId="0" applyNumberFormat="1" applyFont="1" applyFill="1" applyBorder="1" applyAlignment="1">
      <alignment vertical="center" wrapText="1"/>
    </xf>
    <xf numFmtId="3" fontId="5" fillId="0" borderId="21" xfId="0" applyNumberFormat="1" applyFont="1" applyBorder="1" applyAlignment="1">
      <alignment horizontal="right" vertical="center" wrapText="1" readingOrder="1"/>
    </xf>
    <xf numFmtId="3" fontId="5" fillId="0" borderId="18" xfId="0" applyNumberFormat="1" applyFont="1" applyBorder="1" applyAlignment="1">
      <alignment horizontal="right" vertical="center" wrapText="1" readingOrder="1"/>
    </xf>
    <xf numFmtId="3" fontId="5" fillId="0" borderId="13" xfId="0" applyNumberFormat="1" applyFont="1" applyBorder="1" applyAlignment="1">
      <alignment horizontal="right" vertical="center" wrapText="1" readingOrder="1"/>
    </xf>
    <xf numFmtId="0" fontId="5" fillId="2" borderId="35" xfId="0" applyFont="1" applyFill="1" applyBorder="1" applyAlignment="1">
      <alignment horizontal="center" vertical="center" wrapText="1" readingOrder="1"/>
    </xf>
    <xf numFmtId="0" fontId="5" fillId="2" borderId="58" xfId="0" applyFont="1" applyFill="1" applyBorder="1" applyAlignment="1">
      <alignment horizontal="center" vertical="center" wrapText="1" readingOrder="1"/>
    </xf>
    <xf numFmtId="0" fontId="5" fillId="2" borderId="36" xfId="0" applyFont="1" applyFill="1" applyBorder="1" applyAlignment="1">
      <alignment horizontal="center" vertical="center" wrapText="1" readingOrder="1"/>
    </xf>
    <xf numFmtId="0" fontId="5" fillId="2" borderId="17" xfId="0" applyFont="1" applyFill="1" applyBorder="1" applyAlignment="1">
      <alignment horizontal="center" vertical="center" wrapText="1" readingOrder="1"/>
    </xf>
    <xf numFmtId="0" fontId="5" fillId="2" borderId="0" xfId="0" applyFont="1" applyFill="1" applyAlignment="1">
      <alignment horizontal="center" vertical="center" wrapText="1" readingOrder="1"/>
    </xf>
    <xf numFmtId="0" fontId="5" fillId="2" borderId="3" xfId="0" applyFont="1" applyFill="1" applyBorder="1" applyAlignment="1">
      <alignment horizontal="center" vertical="center" wrapText="1" readingOrder="1"/>
    </xf>
    <xf numFmtId="0" fontId="5" fillId="2" borderId="14" xfId="0" applyFont="1" applyFill="1" applyBorder="1" applyAlignment="1">
      <alignment horizontal="center" vertical="center" wrapText="1" readingOrder="1"/>
    </xf>
    <xf numFmtId="0" fontId="5" fillId="2" borderId="19" xfId="0" applyFont="1" applyFill="1" applyBorder="1" applyAlignment="1">
      <alignment horizontal="center" vertical="center" wrapText="1" readingOrder="1"/>
    </xf>
    <xf numFmtId="0" fontId="5" fillId="2" borderId="15" xfId="0" applyFont="1" applyFill="1" applyBorder="1" applyAlignment="1">
      <alignment horizontal="center" vertical="center" wrapText="1" readingOrder="1"/>
    </xf>
    <xf numFmtId="0" fontId="2" fillId="2" borderId="54" xfId="0" applyFont="1" applyFill="1" applyBorder="1" applyAlignment="1">
      <alignment horizontal="center" vertical="center" wrapText="1" readingOrder="1"/>
    </xf>
    <xf numFmtId="3" fontId="2" fillId="2" borderId="21" xfId="0" applyNumberFormat="1" applyFont="1" applyFill="1" applyBorder="1" applyAlignment="1">
      <alignment horizontal="center" vertical="center" wrapText="1"/>
    </xf>
    <xf numFmtId="3" fontId="2" fillId="2" borderId="13" xfId="0" applyNumberFormat="1" applyFont="1" applyFill="1" applyBorder="1" applyAlignment="1">
      <alignment horizontal="center" vertical="center" wrapText="1"/>
    </xf>
    <xf numFmtId="0" fontId="2" fillId="2" borderId="21" xfId="0" applyFont="1" applyFill="1" applyBorder="1" applyAlignment="1">
      <alignment horizontal="center" vertical="center" wrapText="1" readingOrder="1"/>
    </xf>
    <xf numFmtId="0" fontId="2" fillId="2" borderId="13" xfId="0" applyFont="1" applyFill="1" applyBorder="1" applyAlignment="1">
      <alignment horizontal="center" vertical="center" wrapText="1" readingOrder="1"/>
    </xf>
    <xf numFmtId="0" fontId="2" fillId="2" borderId="55" xfId="0" applyFont="1" applyFill="1" applyBorder="1" applyAlignment="1">
      <alignment horizontal="center" vertical="center" wrapText="1" readingOrder="1"/>
    </xf>
    <xf numFmtId="0" fontId="2" fillId="2" borderId="22" xfId="0" applyFont="1" applyFill="1" applyBorder="1" applyAlignment="1">
      <alignment horizontal="center" vertical="center" wrapText="1" readingOrder="1"/>
    </xf>
    <xf numFmtId="0" fontId="2" fillId="2" borderId="27" xfId="0" applyFont="1" applyFill="1" applyBorder="1" applyAlignment="1">
      <alignment horizontal="center" vertical="center" wrapText="1" readingOrder="1"/>
    </xf>
    <xf numFmtId="0" fontId="7" fillId="0" borderId="0" xfId="0" applyFont="1" applyAlignment="1">
      <alignment horizontal="left"/>
    </xf>
    <xf numFmtId="0" fontId="2" fillId="2" borderId="18" xfId="0" applyFont="1" applyFill="1" applyBorder="1" applyAlignment="1">
      <alignment horizontal="center" vertical="center" wrapText="1" readingOrder="1"/>
    </xf>
    <xf numFmtId="3" fontId="2" fillId="2" borderId="35" xfId="0" applyNumberFormat="1" applyFont="1" applyFill="1" applyBorder="1" applyAlignment="1">
      <alignment horizontal="center" vertical="center" wrapText="1"/>
    </xf>
    <xf numFmtId="3" fontId="2" fillId="2" borderId="36" xfId="0" applyNumberFormat="1" applyFont="1" applyFill="1" applyBorder="1" applyAlignment="1">
      <alignment horizontal="center" vertical="center" wrapText="1"/>
    </xf>
    <xf numFmtId="3" fontId="2" fillId="2" borderId="14" xfId="0" applyNumberFormat="1" applyFont="1" applyFill="1" applyBorder="1" applyAlignment="1">
      <alignment horizontal="center" vertical="center" wrapText="1"/>
    </xf>
    <xf numFmtId="3" fontId="2" fillId="2" borderId="15" xfId="0" applyNumberFormat="1" applyFont="1" applyFill="1" applyBorder="1" applyAlignment="1">
      <alignment horizontal="center" vertical="center" wrapText="1"/>
    </xf>
    <xf numFmtId="3" fontId="6" fillId="3" borderId="21" xfId="0" applyNumberFormat="1" applyFont="1" applyFill="1" applyBorder="1" applyAlignment="1">
      <alignment horizontal="right" vertical="center" wrapText="1" readingOrder="1"/>
    </xf>
    <xf numFmtId="3" fontId="6" fillId="3" borderId="18" xfId="0" applyNumberFormat="1" applyFont="1" applyFill="1" applyBorder="1" applyAlignment="1">
      <alignment horizontal="right" vertical="center" wrapText="1" readingOrder="1"/>
    </xf>
    <xf numFmtId="10" fontId="5" fillId="3" borderId="21" xfId="0" applyNumberFormat="1" applyFont="1" applyFill="1" applyBorder="1" applyAlignment="1">
      <alignment horizontal="center" vertical="center" wrapText="1" readingOrder="1"/>
    </xf>
    <xf numFmtId="10" fontId="5" fillId="3" borderId="18" xfId="0" applyNumberFormat="1" applyFont="1" applyFill="1" applyBorder="1" applyAlignment="1">
      <alignment horizontal="center" vertical="center" wrapText="1" readingOrder="1"/>
    </xf>
    <xf numFmtId="10" fontId="5" fillId="3" borderId="13" xfId="0" applyNumberFormat="1" applyFont="1" applyFill="1" applyBorder="1" applyAlignment="1">
      <alignment horizontal="center" vertical="center" wrapText="1" readingOrder="1"/>
    </xf>
    <xf numFmtId="3" fontId="6" fillId="3" borderId="54" xfId="0" applyNumberFormat="1" applyFont="1" applyFill="1" applyBorder="1" applyAlignment="1">
      <alignment horizontal="right" vertical="center" wrapText="1" readingOrder="1"/>
    </xf>
    <xf numFmtId="0" fontId="11" fillId="3" borderId="58" xfId="0" quotePrefix="1" applyFont="1" applyFill="1" applyBorder="1" applyAlignment="1">
      <alignment horizontal="left" vertical="top" wrapText="1"/>
    </xf>
    <xf numFmtId="0" fontId="35" fillId="0" borderId="0" xfId="0" applyFont="1" applyAlignment="1">
      <alignment horizontal="right"/>
    </xf>
    <xf numFmtId="3" fontId="5" fillId="0" borderId="21" xfId="0" applyNumberFormat="1" applyFont="1" applyBorder="1" applyAlignment="1">
      <alignment horizontal="center" vertical="center" wrapText="1"/>
    </xf>
    <xf numFmtId="3" fontId="5" fillId="0" borderId="18" xfId="0" applyNumberFormat="1" applyFont="1" applyBorder="1" applyAlignment="1">
      <alignment horizontal="center" vertical="center" wrapText="1"/>
    </xf>
    <xf numFmtId="3" fontId="5" fillId="0" borderId="13" xfId="0" applyNumberFormat="1" applyFont="1" applyBorder="1" applyAlignment="1">
      <alignment horizontal="center" vertical="center" wrapText="1"/>
    </xf>
    <xf numFmtId="0" fontId="5" fillId="2" borderId="54" xfId="0" applyFont="1" applyFill="1" applyBorder="1" applyAlignment="1">
      <alignment horizontal="center" vertical="center" wrapText="1" readingOrder="1"/>
    </xf>
    <xf numFmtId="3" fontId="2" fillId="2" borderId="54" xfId="0" applyNumberFormat="1" applyFont="1" applyFill="1" applyBorder="1" applyAlignment="1">
      <alignment horizontal="center" vertical="center" wrapText="1"/>
    </xf>
    <xf numFmtId="0" fontId="2" fillId="2" borderId="58" xfId="0" applyFont="1" applyFill="1" applyBorder="1" applyAlignment="1">
      <alignment horizontal="center" vertical="center" wrapText="1" readingOrder="1"/>
    </xf>
    <xf numFmtId="0" fontId="2" fillId="2" borderId="36" xfId="0" applyFont="1" applyFill="1" applyBorder="1" applyAlignment="1">
      <alignment horizontal="center" vertical="center" wrapText="1" readingOrder="1"/>
    </xf>
    <xf numFmtId="0" fontId="2" fillId="2" borderId="19" xfId="0" applyFont="1" applyFill="1" applyBorder="1" applyAlignment="1">
      <alignment horizontal="center" vertical="center" wrapText="1" readingOrder="1"/>
    </xf>
    <xf numFmtId="0" fontId="2" fillId="2" borderId="15" xfId="0" applyFont="1" applyFill="1" applyBorder="1" applyAlignment="1">
      <alignment horizontal="center" vertical="center" wrapText="1" readingOrder="1"/>
    </xf>
    <xf numFmtId="0" fontId="2" fillId="2" borderId="35" xfId="0" applyFont="1" applyFill="1" applyBorder="1" applyAlignment="1">
      <alignment horizontal="center" vertical="center" wrapText="1" readingOrder="1"/>
    </xf>
    <xf numFmtId="0" fontId="2" fillId="2" borderId="14" xfId="0" applyFont="1" applyFill="1" applyBorder="1" applyAlignment="1">
      <alignment horizontal="center" vertical="center" wrapText="1" readingOrder="1"/>
    </xf>
    <xf numFmtId="0" fontId="2" fillId="44" borderId="55" xfId="0" applyFont="1" applyFill="1" applyBorder="1" applyAlignment="1">
      <alignment horizontal="right" vertical="center" wrapText="1" readingOrder="1"/>
    </xf>
    <xf numFmtId="0" fontId="2" fillId="44" borderId="22" xfId="0" applyFont="1" applyFill="1" applyBorder="1" applyAlignment="1">
      <alignment horizontal="right" vertical="center" wrapText="1" readingOrder="1"/>
    </xf>
    <xf numFmtId="0" fontId="2" fillId="44" borderId="27" xfId="0" applyFont="1" applyFill="1" applyBorder="1" applyAlignment="1">
      <alignment horizontal="right" vertical="center" wrapText="1" readingOrder="1"/>
    </xf>
    <xf numFmtId="0" fontId="11" fillId="3" borderId="0" xfId="0" quotePrefix="1" applyFont="1" applyFill="1" applyAlignment="1">
      <alignment horizontal="left" vertical="top" wrapText="1"/>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3" xfId="0" applyFont="1" applyBorder="1" applyAlignment="1">
      <alignment horizontal="center" vertical="center" wrapText="1"/>
    </xf>
    <xf numFmtId="3" fontId="5" fillId="3" borderId="21" xfId="0" applyNumberFormat="1" applyFont="1" applyFill="1" applyBorder="1" applyAlignment="1">
      <alignment horizontal="right" vertical="center" wrapText="1"/>
    </xf>
    <xf numFmtId="3" fontId="5" fillId="3" borderId="18" xfId="0" applyNumberFormat="1" applyFont="1" applyFill="1" applyBorder="1" applyAlignment="1">
      <alignment horizontal="right" vertical="center" wrapText="1"/>
    </xf>
    <xf numFmtId="3" fontId="5" fillId="3" borderId="13" xfId="0" applyNumberFormat="1" applyFont="1" applyFill="1" applyBorder="1" applyAlignment="1">
      <alignment horizontal="right" vertical="center" wrapText="1"/>
    </xf>
    <xf numFmtId="10" fontId="6" fillId="0" borderId="21" xfId="0" applyNumberFormat="1" applyFont="1" applyBorder="1" applyAlignment="1">
      <alignment horizontal="center" vertical="center"/>
    </xf>
    <xf numFmtId="10" fontId="6" fillId="0" borderId="18" xfId="0" applyNumberFormat="1" applyFont="1" applyBorder="1" applyAlignment="1">
      <alignment horizontal="center" vertical="center"/>
    </xf>
    <xf numFmtId="10" fontId="6" fillId="0" borderId="13" xfId="0" applyNumberFormat="1" applyFont="1" applyBorder="1" applyAlignment="1">
      <alignment horizontal="center" vertical="center"/>
    </xf>
    <xf numFmtId="0" fontId="12" fillId="0" borderId="55" xfId="0" applyFont="1" applyBorder="1" applyAlignment="1">
      <alignment horizontal="right" vertical="center" wrapText="1"/>
    </xf>
    <xf numFmtId="0" fontId="12" fillId="0" borderId="27" xfId="0" applyFont="1" applyBorder="1" applyAlignment="1">
      <alignment horizontal="right" vertical="center" wrapText="1"/>
    </xf>
    <xf numFmtId="0" fontId="6" fillId="2" borderId="54" xfId="0" applyFont="1" applyFill="1" applyBorder="1" applyAlignment="1">
      <alignment horizontal="center" vertical="center" wrapText="1"/>
    </xf>
    <xf numFmtId="0" fontId="6" fillId="2" borderId="35" xfId="0" applyFont="1" applyFill="1" applyBorder="1" applyAlignment="1">
      <alignment horizontal="center"/>
    </xf>
    <xf numFmtId="0" fontId="6" fillId="2" borderId="58" xfId="0" applyFont="1" applyFill="1" applyBorder="1" applyAlignment="1">
      <alignment horizontal="center"/>
    </xf>
    <xf numFmtId="0" fontId="6" fillId="2" borderId="36" xfId="0" applyFont="1" applyFill="1" applyBorder="1" applyAlignment="1">
      <alignment horizontal="center"/>
    </xf>
    <xf numFmtId="0" fontId="6" fillId="2" borderId="17" xfId="0" applyFont="1" applyFill="1" applyBorder="1" applyAlignment="1">
      <alignment horizontal="center"/>
    </xf>
    <xf numFmtId="0" fontId="6" fillId="2" borderId="0" xfId="0" applyFont="1" applyFill="1" applyAlignment="1">
      <alignment horizontal="center"/>
    </xf>
    <xf numFmtId="0" fontId="6" fillId="2" borderId="3" xfId="0" applyFont="1" applyFill="1" applyBorder="1" applyAlignment="1">
      <alignment horizontal="center"/>
    </xf>
    <xf numFmtId="0" fontId="6" fillId="2" borderId="14" xfId="0" applyFont="1" applyFill="1" applyBorder="1" applyAlignment="1">
      <alignment horizontal="center"/>
    </xf>
    <xf numFmtId="0" fontId="6" fillId="2" borderId="19" xfId="0" applyFont="1" applyFill="1" applyBorder="1" applyAlignment="1">
      <alignment horizontal="center"/>
    </xf>
    <xf numFmtId="0" fontId="6" fillId="2" borderId="15" xfId="0" applyFont="1" applyFill="1" applyBorder="1" applyAlignment="1">
      <alignment horizontal="center"/>
    </xf>
    <xf numFmtId="3" fontId="6" fillId="3" borderId="21" xfId="0" applyNumberFormat="1" applyFont="1" applyFill="1" applyBorder="1" applyAlignment="1">
      <alignment horizontal="right" vertical="center"/>
    </xf>
    <xf numFmtId="3" fontId="6" fillId="3" borderId="18" xfId="0" applyNumberFormat="1" applyFont="1" applyFill="1" applyBorder="1" applyAlignment="1">
      <alignment horizontal="right" vertical="center"/>
    </xf>
    <xf numFmtId="3" fontId="6" fillId="3" borderId="13" xfId="0" applyNumberFormat="1" applyFont="1" applyFill="1" applyBorder="1" applyAlignment="1">
      <alignment horizontal="right" vertical="center"/>
    </xf>
    <xf numFmtId="0" fontId="15" fillId="0" borderId="55" xfId="0" applyFont="1" applyBorder="1" applyAlignment="1">
      <alignment horizontal="right" vertical="center" wrapText="1"/>
    </xf>
    <xf numFmtId="0" fontId="15" fillId="0" borderId="27" xfId="0" applyFont="1" applyBorder="1" applyAlignment="1">
      <alignment horizontal="right" vertical="center" wrapText="1"/>
    </xf>
    <xf numFmtId="3" fontId="15" fillId="0" borderId="35" xfId="0" applyNumberFormat="1" applyFont="1" applyBorder="1" applyAlignment="1">
      <alignment horizontal="center"/>
    </xf>
    <xf numFmtId="3" fontId="15" fillId="0" borderId="58" xfId="0" applyNumberFormat="1" applyFont="1" applyBorder="1" applyAlignment="1">
      <alignment horizontal="center"/>
    </xf>
    <xf numFmtId="3" fontId="15" fillId="0" borderId="22" xfId="0" applyNumberFormat="1" applyFont="1" applyBorder="1" applyAlignment="1">
      <alignment horizontal="center"/>
    </xf>
    <xf numFmtId="3" fontId="15" fillId="0" borderId="27" xfId="0" applyNumberFormat="1" applyFont="1" applyBorder="1" applyAlignment="1">
      <alignment horizontal="center"/>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0" borderId="35" xfId="0" applyFont="1" applyBorder="1" applyAlignment="1">
      <alignment horizontal="left" vertical="center" wrapText="1"/>
    </xf>
    <xf numFmtId="0" fontId="6" fillId="0" borderId="17" xfId="0" applyFont="1" applyBorder="1" applyAlignment="1">
      <alignment horizontal="left" vertical="center" wrapText="1"/>
    </xf>
    <xf numFmtId="0" fontId="6" fillId="0" borderId="14" xfId="0" applyFont="1" applyBorder="1" applyAlignment="1">
      <alignment horizontal="left" vertical="center" wrapText="1"/>
    </xf>
    <xf numFmtId="3" fontId="6" fillId="3" borderId="18" xfId="0" applyNumberFormat="1" applyFont="1" applyFill="1" applyBorder="1" applyAlignment="1">
      <alignment horizontal="center" vertical="center"/>
    </xf>
    <xf numFmtId="0" fontId="19" fillId="0" borderId="19" xfId="0" applyFont="1" applyBorder="1" applyAlignment="1">
      <alignment horizontal="left" wrapText="1"/>
    </xf>
    <xf numFmtId="3" fontId="5" fillId="0" borderId="21" xfId="0" applyNumberFormat="1" applyFont="1" applyBorder="1" applyAlignment="1">
      <alignment vertical="center" wrapText="1" readingOrder="1"/>
    </xf>
    <xf numFmtId="3" fontId="5" fillId="0" borderId="18" xfId="0" applyNumberFormat="1" applyFont="1" applyBorder="1" applyAlignment="1">
      <alignment vertical="center" wrapText="1" readingOrder="1"/>
    </xf>
    <xf numFmtId="10" fontId="5" fillId="0" borderId="21" xfId="0" applyNumberFormat="1" applyFont="1" applyBorder="1" applyAlignment="1">
      <alignment vertical="center" wrapText="1" readingOrder="1"/>
    </xf>
    <xf numFmtId="10" fontId="5" fillId="0" borderId="18" xfId="0" applyNumberFormat="1" applyFont="1" applyBorder="1" applyAlignment="1">
      <alignment vertical="center" wrapText="1" readingOrder="1"/>
    </xf>
    <xf numFmtId="3" fontId="5" fillId="2" borderId="35" xfId="0" applyNumberFormat="1" applyFont="1" applyFill="1" applyBorder="1" applyAlignment="1">
      <alignment horizontal="center" vertical="center" wrapText="1" readingOrder="1"/>
    </xf>
    <xf numFmtId="3" fontId="5" fillId="2" borderId="36" xfId="0" applyNumberFormat="1" applyFont="1" applyFill="1" applyBorder="1" applyAlignment="1">
      <alignment horizontal="center" vertical="center" wrapText="1" readingOrder="1"/>
    </xf>
    <xf numFmtId="3" fontId="5" fillId="2" borderId="17" xfId="0" applyNumberFormat="1" applyFont="1" applyFill="1" applyBorder="1" applyAlignment="1">
      <alignment horizontal="center" vertical="center" wrapText="1" readingOrder="1"/>
    </xf>
    <xf numFmtId="3" fontId="5" fillId="2" borderId="3" xfId="0" applyNumberFormat="1" applyFont="1" applyFill="1" applyBorder="1" applyAlignment="1">
      <alignment horizontal="center" vertical="center" wrapText="1" readingOrder="1"/>
    </xf>
    <xf numFmtId="3" fontId="5" fillId="0" borderId="21"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3" fontId="2" fillId="2" borderId="17"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0" fontId="2" fillId="42" borderId="55" xfId="0" applyFont="1" applyFill="1" applyBorder="1" applyAlignment="1">
      <alignment horizontal="right" vertical="center" wrapText="1" readingOrder="1"/>
    </xf>
    <xf numFmtId="0" fontId="2" fillId="42" borderId="27" xfId="0" applyFont="1" applyFill="1" applyBorder="1" applyAlignment="1">
      <alignment horizontal="right" vertical="center" wrapText="1" readingOrder="1"/>
    </xf>
    <xf numFmtId="3" fontId="5" fillId="3" borderId="54" xfId="0" applyNumberFormat="1" applyFont="1" applyFill="1" applyBorder="1" applyAlignment="1">
      <alignment horizontal="center" vertical="center" wrapText="1"/>
    </xf>
    <xf numFmtId="3" fontId="5" fillId="0" borderId="54" xfId="0" applyNumberFormat="1" applyFont="1" applyBorder="1" applyAlignment="1">
      <alignment horizontal="center" vertical="center" wrapText="1"/>
    </xf>
    <xf numFmtId="3" fontId="5" fillId="40" borderId="21" xfId="0" applyNumberFormat="1" applyFont="1" applyFill="1" applyBorder="1" applyAlignment="1">
      <alignment horizontal="center" vertical="center" wrapText="1"/>
    </xf>
    <xf numFmtId="3" fontId="5" fillId="40" borderId="13" xfId="0" applyNumberFormat="1" applyFont="1" applyFill="1" applyBorder="1" applyAlignment="1">
      <alignment horizontal="center" vertical="center" wrapText="1"/>
    </xf>
    <xf numFmtId="10" fontId="5" fillId="0" borderId="21" xfId="0" applyNumberFormat="1" applyFont="1" applyBorder="1" applyAlignment="1">
      <alignment horizontal="center" vertical="center" wrapText="1" readingOrder="1"/>
    </xf>
    <xf numFmtId="10" fontId="5" fillId="0" borderId="18" xfId="0" applyNumberFormat="1" applyFont="1" applyBorder="1" applyAlignment="1">
      <alignment horizontal="center" vertical="center" wrapText="1" readingOrder="1"/>
    </xf>
    <xf numFmtId="10" fontId="5" fillId="0" borderId="13" xfId="0" applyNumberFormat="1" applyFont="1" applyBorder="1" applyAlignment="1">
      <alignment horizontal="center" vertical="center" wrapText="1" readingOrder="1"/>
    </xf>
    <xf numFmtId="0" fontId="35" fillId="0" borderId="0" xfId="0" applyFont="1" applyAlignment="1">
      <alignment horizontal="right" vertical="center" wrapText="1" indent="3"/>
    </xf>
    <xf numFmtId="10" fontId="5" fillId="0" borderId="21" xfId="0" applyNumberFormat="1" applyFont="1" applyBorder="1" applyAlignment="1">
      <alignment horizontal="right" vertical="center" wrapText="1" readingOrder="1"/>
    </xf>
    <xf numFmtId="10" fontId="5" fillId="0" borderId="18" xfId="0" applyNumberFormat="1" applyFont="1" applyBorder="1" applyAlignment="1">
      <alignment horizontal="right" vertical="center" wrapText="1" readingOrder="1"/>
    </xf>
    <xf numFmtId="10" fontId="5" fillId="0" borderId="13" xfId="0" applyNumberFormat="1" applyFont="1" applyBorder="1" applyAlignment="1">
      <alignment horizontal="right" vertical="center" wrapText="1" readingOrder="1"/>
    </xf>
    <xf numFmtId="3" fontId="5" fillId="0" borderId="13" xfId="0" applyNumberFormat="1" applyFont="1" applyBorder="1" applyAlignment="1">
      <alignment horizontal="right" vertical="center" wrapText="1"/>
    </xf>
    <xf numFmtId="0" fontId="10" fillId="0" borderId="23" xfId="0" applyFont="1" applyBorder="1" applyAlignment="1">
      <alignment horizontal="left" vertical="center" wrapText="1" readingOrder="1"/>
    </xf>
    <xf numFmtId="0" fontId="23" fillId="0" borderId="19" xfId="0" applyFont="1" applyBorder="1" applyAlignment="1">
      <alignment horizontal="left"/>
    </xf>
    <xf numFmtId="167" fontId="14" fillId="2" borderId="28" xfId="0" applyNumberFormat="1" applyFont="1" applyFill="1" applyBorder="1" applyAlignment="1">
      <alignment horizontal="center" vertical="center" wrapText="1"/>
    </xf>
    <xf numFmtId="3" fontId="4" fillId="3" borderId="20" xfId="2" applyNumberFormat="1" applyFont="1" applyFill="1" applyBorder="1" applyAlignment="1">
      <alignment horizontal="center" vertical="center" wrapText="1"/>
    </xf>
    <xf numFmtId="0" fontId="19" fillId="0" borderId="19" xfId="0" applyFont="1" applyBorder="1" applyAlignment="1">
      <alignment horizontal="center"/>
    </xf>
    <xf numFmtId="0" fontId="19" fillId="0" borderId="0" xfId="0" applyFont="1" applyAlignment="1">
      <alignment horizontal="left"/>
    </xf>
    <xf numFmtId="0" fontId="19" fillId="0" borderId="0" xfId="0" applyFont="1" applyAlignment="1">
      <alignment horizontal="center"/>
    </xf>
    <xf numFmtId="0" fontId="35" fillId="3" borderId="0" xfId="0" applyFont="1" applyFill="1" applyAlignment="1">
      <alignment horizontal="left" wrapText="1"/>
    </xf>
    <xf numFmtId="0" fontId="15" fillId="0" borderId="12" xfId="0" applyFont="1" applyBorder="1" applyAlignment="1">
      <alignment horizontal="center"/>
    </xf>
    <xf numFmtId="0" fontId="15" fillId="0" borderId="19" xfId="0" applyFont="1" applyBorder="1" applyAlignment="1">
      <alignment horizontal="center"/>
    </xf>
    <xf numFmtId="3" fontId="10" fillId="0" borderId="55" xfId="0" applyNumberFormat="1" applyFont="1" applyBorder="1" applyAlignment="1">
      <alignment horizontal="center" vertical="center" wrapText="1" readingOrder="1"/>
    </xf>
    <xf numFmtId="3" fontId="10" fillId="0" borderId="22" xfId="0" applyNumberFormat="1" applyFont="1" applyBorder="1" applyAlignment="1">
      <alignment horizontal="center" vertical="center" wrapText="1" readingOrder="1"/>
    </xf>
    <xf numFmtId="3" fontId="10" fillId="0" borderId="27" xfId="0" applyNumberFormat="1" applyFont="1" applyBorder="1" applyAlignment="1">
      <alignment horizontal="center" vertical="center" wrapText="1" readingOrder="1"/>
    </xf>
    <xf numFmtId="0" fontId="10" fillId="0" borderId="0" xfId="0" applyFont="1" applyAlignment="1">
      <alignment horizontal="left" vertical="center" readingOrder="1"/>
    </xf>
    <xf numFmtId="3" fontId="6" fillId="3" borderId="21" xfId="1" applyNumberFormat="1" applyFont="1" applyFill="1" applyBorder="1" applyAlignment="1">
      <alignment horizontal="center" vertical="center" wrapText="1"/>
    </xf>
    <xf numFmtId="3" fontId="6" fillId="3" borderId="18" xfId="1" applyNumberFormat="1" applyFont="1" applyFill="1" applyBorder="1" applyAlignment="1">
      <alignment horizontal="center" vertical="center" wrapText="1"/>
    </xf>
    <xf numFmtId="3" fontId="6" fillId="3" borderId="13" xfId="1" applyNumberFormat="1" applyFont="1" applyFill="1" applyBorder="1" applyAlignment="1">
      <alignment horizontal="center" vertical="center" wrapText="1"/>
    </xf>
    <xf numFmtId="3" fontId="2" fillId="2" borderId="17" xfId="0" applyNumberFormat="1" applyFont="1" applyFill="1" applyBorder="1" applyAlignment="1">
      <alignment vertical="center" wrapText="1"/>
    </xf>
    <xf numFmtId="3" fontId="2" fillId="2" borderId="3" xfId="0" applyNumberFormat="1" applyFont="1" applyFill="1" applyBorder="1" applyAlignment="1">
      <alignment vertical="center" wrapText="1"/>
    </xf>
    <xf numFmtId="3" fontId="10" fillId="3" borderId="21" xfId="1" applyNumberFormat="1" applyFont="1" applyFill="1" applyBorder="1" applyAlignment="1">
      <alignment horizontal="right" vertical="center"/>
    </xf>
    <xf numFmtId="3" fontId="10" fillId="3" borderId="18" xfId="1" applyNumberFormat="1" applyFont="1" applyFill="1" applyBorder="1" applyAlignment="1">
      <alignment horizontal="right" vertical="center"/>
    </xf>
    <xf numFmtId="3" fontId="10" fillId="3" borderId="13" xfId="1" applyNumberFormat="1" applyFont="1" applyFill="1" applyBorder="1" applyAlignment="1">
      <alignment horizontal="right" vertical="center"/>
    </xf>
  </cellXfs>
  <cellStyles count="161">
    <cellStyle name="20% - Colore 1" xfId="31" builtinId="30" customBuiltin="1"/>
    <cellStyle name="20% - Colore 2" xfId="34" builtinId="34" customBuiltin="1"/>
    <cellStyle name="20% - Colore 3" xfId="37" builtinId="38" customBuiltin="1"/>
    <cellStyle name="20% - Colore 4" xfId="40" builtinId="42" customBuiltin="1"/>
    <cellStyle name="20% - Colore 5" xfId="43" builtinId="46" customBuiltin="1"/>
    <cellStyle name="20% - Colore 6" xfId="46" builtinId="50" customBuiltin="1"/>
    <cellStyle name="40% - Colore 1" xfId="32" builtinId="31" customBuiltin="1"/>
    <cellStyle name="40% - Colore 2" xfId="35" builtinId="35" customBuiltin="1"/>
    <cellStyle name="40% - Colore 3" xfId="38" builtinId="39" customBuiltin="1"/>
    <cellStyle name="40% - Colore 4" xfId="41" builtinId="43" customBuiltin="1"/>
    <cellStyle name="40% - Colore 5" xfId="44" builtinId="47" customBuiltin="1"/>
    <cellStyle name="40% - Colore 6" xfId="47" builtinId="51" customBuiltin="1"/>
    <cellStyle name="60% - Colore 1 2" xfId="50" xr:uid="{00000000-0005-0000-0000-00000C000000}"/>
    <cellStyle name="60% - Colore 2 2" xfId="51" xr:uid="{00000000-0005-0000-0000-00000D000000}"/>
    <cellStyle name="60% - Colore 3 2" xfId="52" xr:uid="{00000000-0005-0000-0000-00000E000000}"/>
    <cellStyle name="60% - Colore 4 2" xfId="53" xr:uid="{00000000-0005-0000-0000-00000F000000}"/>
    <cellStyle name="60% - Colore 5 2" xfId="54" xr:uid="{00000000-0005-0000-0000-000010000000}"/>
    <cellStyle name="60% - Colore 6 2" xfId="55" xr:uid="{00000000-0005-0000-0000-000011000000}"/>
    <cellStyle name="Calcolo" xfId="23" builtinId="22" customBuiltin="1"/>
    <cellStyle name="Cella collegata" xfId="24" builtinId="24" customBuiltin="1"/>
    <cellStyle name="Cella da controllare" xfId="25" builtinId="23" customBuiltin="1"/>
    <cellStyle name="Colore 1" xfId="30" builtinId="29" customBuiltin="1"/>
    <cellStyle name="Colore 2" xfId="33" builtinId="33" customBuiltin="1"/>
    <cellStyle name="Colore 3" xfId="36" builtinId="37" customBuiltin="1"/>
    <cellStyle name="Colore 4" xfId="39" builtinId="41" customBuiltin="1"/>
    <cellStyle name="Colore 5" xfId="42" builtinId="45" customBuiltin="1"/>
    <cellStyle name="Colore 6" xfId="45" builtinId="49" customBuiltin="1"/>
    <cellStyle name="Input" xfId="21" builtinId="20" customBuiltin="1"/>
    <cellStyle name="Migliaia" xfId="1" builtinId="3"/>
    <cellStyle name="Migliaia 10" xfId="69" xr:uid="{3FB55423-2F32-47CA-9A2B-4A6FBA72C392}"/>
    <cellStyle name="Migliaia 10 2" xfId="109" xr:uid="{A7D6E47F-A132-4C50-A7D8-D6A7327D38E0}"/>
    <cellStyle name="Migliaia 10 3" xfId="147" xr:uid="{62DD20E3-5A72-4861-97CF-B7B7E2D1AC0E}"/>
    <cellStyle name="Migliaia 2" xfId="4" xr:uid="{00000000-0005-0000-0000-00001D000000}"/>
    <cellStyle name="Migliaia 2 2" xfId="67" xr:uid="{00000000-0005-0000-0000-00001E000000}"/>
    <cellStyle name="Migliaia 2 3" xfId="66" xr:uid="{00000000-0005-0000-0000-00001F000000}"/>
    <cellStyle name="Migliaia 2 3 2" xfId="83" xr:uid="{88B04553-6049-42B0-8832-0853C51C6392}"/>
    <cellStyle name="Migliaia 2 3 2 2" xfId="122" xr:uid="{0534EBB5-3624-4341-9C3C-6F55DDC897C1}"/>
    <cellStyle name="Migliaia 2 3 2 3" xfId="160" xr:uid="{034F6F2D-A5F7-40A5-83F8-433DCE83D238}"/>
    <cellStyle name="Migliaia 2 3 3" xfId="107" xr:uid="{91339815-9C40-4CAE-9CE0-D959F9520552}"/>
    <cellStyle name="Migliaia 2 3 4" xfId="146" xr:uid="{0BB088EC-EA63-4014-9968-9E24EDF4EE4B}"/>
    <cellStyle name="Migliaia 3" xfId="2" xr:uid="{00000000-0005-0000-0000-000020000000}"/>
    <cellStyle name="Migliaia 3 2" xfId="7" xr:uid="{00000000-0005-0000-0000-000021000000}"/>
    <cellStyle name="Migliaia 3 2 2" xfId="59" xr:uid="{00000000-0005-0000-0000-000022000000}"/>
    <cellStyle name="Migliaia 3 2 2 2" xfId="76" xr:uid="{9EFEC395-B291-4898-BEAC-0A5548867E2F}"/>
    <cellStyle name="Migliaia 3 2 2 2 2" xfId="116" xr:uid="{E4799EB0-379A-4C6F-ACC6-889B2A03EC88}"/>
    <cellStyle name="Migliaia 3 2 2 2 3" xfId="154" xr:uid="{D40A82E5-9621-4D79-9C9A-DEEF18CF340D}"/>
    <cellStyle name="Migliaia 3 2 2 3" xfId="90" xr:uid="{E5099173-1D22-4CCB-92B6-5D4D34772D73}"/>
    <cellStyle name="Migliaia 3 2 2 3 2" xfId="129" xr:uid="{CEC21D38-7CAC-4D37-BC70-50C301F922AA}"/>
    <cellStyle name="Migliaia 3 2 2 4" xfId="101" xr:uid="{AD643B9B-75C0-4AA4-AEAD-33C8ED55C63F}"/>
    <cellStyle name="Migliaia 3 2 2 5" xfId="140" xr:uid="{7B38BD28-7BE9-4064-B58A-10707E640B8B}"/>
    <cellStyle name="Migliaia 3 3" xfId="14" xr:uid="{00000000-0005-0000-0000-000023000000}"/>
    <cellStyle name="Migliaia 4" xfId="6" xr:uid="{00000000-0005-0000-0000-000024000000}"/>
    <cellStyle name="Migliaia 4 2" xfId="58" xr:uid="{00000000-0005-0000-0000-000025000000}"/>
    <cellStyle name="Migliaia 4 2 2" xfId="75" xr:uid="{C5D0B1EC-3A19-4B65-87E2-FAC9675BCCEA}"/>
    <cellStyle name="Migliaia 4 2 2 2" xfId="115" xr:uid="{F64CEAB4-BF4E-442B-B7CF-AF4123356269}"/>
    <cellStyle name="Migliaia 4 2 2 3" xfId="153" xr:uid="{F0F8E60F-16DA-4BDB-BB74-BA34A450514A}"/>
    <cellStyle name="Migliaia 4 2 3" xfId="89" xr:uid="{B1263C67-54AC-4990-A02F-79CAB1AFA981}"/>
    <cellStyle name="Migliaia 4 2 3 2" xfId="128" xr:uid="{C7EFD2AF-2F5F-40B5-A933-1412371ED1F8}"/>
    <cellStyle name="Migliaia 4 2 4" xfId="100" xr:uid="{2F8161BB-9505-46FF-B59F-FD28223B0F31}"/>
    <cellStyle name="Migliaia 4 2 5" xfId="139" xr:uid="{E30CFDBF-4340-4AD9-9135-604CA8C12A9E}"/>
    <cellStyle name="Migliaia 4 3" xfId="70" xr:uid="{4F1B9166-9418-4A02-89D8-E252307C710F}"/>
    <cellStyle name="Migliaia 4 3 2" xfId="110" xr:uid="{314B815B-AE34-4B47-A83D-1AC9BD740240}"/>
    <cellStyle name="Migliaia 4 3 3" xfId="148" xr:uid="{36EA5CED-EDEC-41ED-A46C-370A6B73D55E}"/>
    <cellStyle name="Migliaia 4 4" xfId="84" xr:uid="{2C300E9E-63E0-40C4-911F-7747B50E8F15}"/>
    <cellStyle name="Migliaia 4 4 2" xfId="123" xr:uid="{4B025493-802D-4511-9A5D-EBE07F083AF1}"/>
    <cellStyle name="Migliaia 4 5" xfId="95" xr:uid="{30C2E402-DD5D-47E8-9ADF-734CF5DFDDD9}"/>
    <cellStyle name="Migliaia 4 6" xfId="134" xr:uid="{671A6B64-F247-48E5-8733-F7C5B98EE4EB}"/>
    <cellStyle name="Migliaia 5" xfId="8" xr:uid="{00000000-0005-0000-0000-000026000000}"/>
    <cellStyle name="Migliaia 5 2" xfId="60" xr:uid="{00000000-0005-0000-0000-000027000000}"/>
    <cellStyle name="Migliaia 5 2 2" xfId="77" xr:uid="{8E773AAA-CF02-46D8-9A01-B0EDBC7BEC69}"/>
    <cellStyle name="Migliaia 5 2 2 2" xfId="117" xr:uid="{AEB87772-BB41-43F1-B56F-FEECB626A632}"/>
    <cellStyle name="Migliaia 5 2 2 3" xfId="155" xr:uid="{8283F246-8940-483D-8808-702B61B7A4B5}"/>
    <cellStyle name="Migliaia 5 2 3" xfId="91" xr:uid="{68B23619-1611-4EEE-9073-01E834DFE0B7}"/>
    <cellStyle name="Migliaia 5 2 3 2" xfId="130" xr:uid="{F44DF3A6-B054-4A6A-973C-829933BC2773}"/>
    <cellStyle name="Migliaia 5 2 4" xfId="102" xr:uid="{209336F2-B87D-4DD5-A6AD-348829B19A96}"/>
    <cellStyle name="Migliaia 5 2 5" xfId="141" xr:uid="{3DF6AFD8-45BC-439D-B3DF-FD3F2B48ED30}"/>
    <cellStyle name="Migliaia 5 3" xfId="71" xr:uid="{B10F56BD-5D43-49E9-80B3-55BD434FC01E}"/>
    <cellStyle name="Migliaia 5 3 2" xfId="111" xr:uid="{A4024819-17ED-409F-8F6E-3B9BA692A8E3}"/>
    <cellStyle name="Migliaia 5 3 3" xfId="149" xr:uid="{94167CAA-C8E3-44DC-BC2B-B63DA28ED11A}"/>
    <cellStyle name="Migliaia 5 4" xfId="85" xr:uid="{B709B021-1625-440C-A62F-65BC2D6A95A8}"/>
    <cellStyle name="Migliaia 5 4 2" xfId="124" xr:uid="{0801C758-B052-4AF4-8AD3-61FCC6738913}"/>
    <cellStyle name="Migliaia 5 5" xfId="96" xr:uid="{61AA9223-5C96-4B1E-8447-B2B3EA291D7E}"/>
    <cellStyle name="Migliaia 5 6" xfId="135" xr:uid="{808419F8-E4BE-4D79-9930-08124888706E}"/>
    <cellStyle name="Migliaia 6" xfId="10" xr:uid="{00000000-0005-0000-0000-000028000000}"/>
    <cellStyle name="Migliaia 6 2" xfId="61" xr:uid="{00000000-0005-0000-0000-000029000000}"/>
    <cellStyle name="Migliaia 6 2 2" xfId="78" xr:uid="{51F3BFDC-1642-47F2-9535-928127C6BA2B}"/>
    <cellStyle name="Migliaia 6 2 2 2" xfId="118" xr:uid="{CF645578-580A-4E99-B819-1B1035508469}"/>
    <cellStyle name="Migliaia 6 2 2 3" xfId="156" xr:uid="{5A0E1229-BB75-4285-8264-EC18552511E9}"/>
    <cellStyle name="Migliaia 6 2 3" xfId="92" xr:uid="{606C12D1-4394-4B0D-9166-1FB3F03AAFF4}"/>
    <cellStyle name="Migliaia 6 2 3 2" xfId="131" xr:uid="{F9ADD056-017F-474F-B147-C69D888D6023}"/>
    <cellStyle name="Migliaia 6 2 4" xfId="103" xr:uid="{1150087E-DD09-4927-9ADD-282EC1EB2422}"/>
    <cellStyle name="Migliaia 6 2 5" xfId="142" xr:uid="{DCC9289A-5D58-49A0-A44B-224AC308842A}"/>
    <cellStyle name="Migliaia 6 3" xfId="72" xr:uid="{FF036225-16FE-4FE9-BEB5-69DE915D6636}"/>
    <cellStyle name="Migliaia 6 3 2" xfId="112" xr:uid="{1D075C53-246B-4183-84DE-54A79C16C9A9}"/>
    <cellStyle name="Migliaia 6 3 3" xfId="150" xr:uid="{5EC6629D-FEB5-4130-9C66-F7291838B19D}"/>
    <cellStyle name="Migliaia 6 4" xfId="86" xr:uid="{8A276C4E-5180-4C53-A5C8-120992662757}"/>
    <cellStyle name="Migliaia 6 4 2" xfId="125" xr:uid="{898850FF-64F0-4EAC-8996-04A6308A3854}"/>
    <cellStyle name="Migliaia 6 5" xfId="97" xr:uid="{CA6925BF-104A-480F-A9DE-AC380FEE47B8}"/>
    <cellStyle name="Migliaia 6 6" xfId="136" xr:uid="{E3BFBCDC-854E-45E2-8C81-346A6C434840}"/>
    <cellStyle name="Migliaia 7" xfId="11" xr:uid="{00000000-0005-0000-0000-00002A000000}"/>
    <cellStyle name="Migliaia 7 2" xfId="62" xr:uid="{00000000-0005-0000-0000-00002B000000}"/>
    <cellStyle name="Migliaia 7 2 2" xfId="79" xr:uid="{0119F696-B115-4903-9326-96FB7BE90802}"/>
    <cellStyle name="Migliaia 7 2 2 2" xfId="119" xr:uid="{7BF3E478-5E3A-4FB3-9E02-F5458F21CD3B}"/>
    <cellStyle name="Migliaia 7 2 2 3" xfId="157" xr:uid="{75BE6851-AED2-4A8F-BA09-C7B3E48473C3}"/>
    <cellStyle name="Migliaia 7 2 3" xfId="93" xr:uid="{F24B42D2-0F42-436D-983D-BFB1012A265C}"/>
    <cellStyle name="Migliaia 7 2 3 2" xfId="132" xr:uid="{192D34FE-3B25-412C-97D8-C949E07627B1}"/>
    <cellStyle name="Migliaia 7 2 4" xfId="104" xr:uid="{656B9D5B-AC79-460D-86A2-E38E15730922}"/>
    <cellStyle name="Migliaia 7 2 5" xfId="143" xr:uid="{CBFDE378-AD13-4C8A-8E80-1B3D97DE86DE}"/>
    <cellStyle name="Migliaia 7 3" xfId="73" xr:uid="{DE23AF38-5B64-4D28-8207-A17912DF7F56}"/>
    <cellStyle name="Migliaia 7 3 2" xfId="113" xr:uid="{46AE36D8-5B99-4EB2-8EDD-4DE98B58DFC9}"/>
    <cellStyle name="Migliaia 7 3 3" xfId="151" xr:uid="{C701FC23-35E7-4CBC-A602-92761D5EF098}"/>
    <cellStyle name="Migliaia 7 4" xfId="87" xr:uid="{0F67DDF5-27B7-492A-BAE7-DAF4873DB474}"/>
    <cellStyle name="Migliaia 7 4 2" xfId="126" xr:uid="{430674AA-10C6-4207-8E3D-9CFEC6E0C02D}"/>
    <cellStyle name="Migliaia 7 5" xfId="98" xr:uid="{830ABBBF-5F32-4E18-B786-EFEB9C00683D}"/>
    <cellStyle name="Migliaia 7 6" xfId="137" xr:uid="{9798B107-378F-4DBE-A734-D75F6A67E128}"/>
    <cellStyle name="Migliaia 8" xfId="57" xr:uid="{00000000-0005-0000-0000-00002C000000}"/>
    <cellStyle name="Migliaia 8 2" xfId="63" xr:uid="{00000000-0005-0000-0000-00002D000000}"/>
    <cellStyle name="Migliaia 8 2 2" xfId="80" xr:uid="{FF0DC4CE-B7E3-4EEC-A24D-F0177BEBB432}"/>
    <cellStyle name="Migliaia 8 2 2 2" xfId="120" xr:uid="{766A6384-3DA0-4A59-B446-7D70C96BCC83}"/>
    <cellStyle name="Migliaia 8 2 2 3" xfId="158" xr:uid="{020E0476-71C5-460C-98FA-FF62D2BC58A2}"/>
    <cellStyle name="Migliaia 8 2 3" xfId="94" xr:uid="{2C25A838-0DB1-4ADB-85BB-EAD20B4D39CA}"/>
    <cellStyle name="Migliaia 8 2 3 2" xfId="133" xr:uid="{1FB1053C-C857-4DA5-AD86-E51EFEF7A5CB}"/>
    <cellStyle name="Migliaia 8 2 4" xfId="105" xr:uid="{FA35349A-D794-482A-B273-C6EDEE743658}"/>
    <cellStyle name="Migliaia 8 2 5" xfId="144" xr:uid="{6B287886-A650-4ACC-8DDC-315893F112CC}"/>
    <cellStyle name="Migliaia 8 3" xfId="74" xr:uid="{11DD73CF-E3DB-472D-A29C-40BA0467827E}"/>
    <cellStyle name="Migliaia 8 3 2" xfId="114" xr:uid="{ADA83A57-3052-491C-B726-DAC2C1E96258}"/>
    <cellStyle name="Migliaia 8 3 3" xfId="152" xr:uid="{777DD60F-34CD-43E1-B156-4D7B2F925576}"/>
    <cellStyle name="Migliaia 8 4" xfId="88" xr:uid="{5D095495-500D-402B-9F6F-A397E5699A43}"/>
    <cellStyle name="Migliaia 8 4 2" xfId="127" xr:uid="{E87901EA-8BAD-45CE-9A3E-EB57E1EAA7EE}"/>
    <cellStyle name="Migliaia 8 5" xfId="99" xr:uid="{087575ED-8204-4020-ACC6-4919A7B25105}"/>
    <cellStyle name="Migliaia 8 6" xfId="138" xr:uid="{E35D8ADF-0112-4A46-BE87-630247679D0F}"/>
    <cellStyle name="Migliaia 9" xfId="65" xr:uid="{00000000-0005-0000-0000-00002E000000}"/>
    <cellStyle name="Migliaia 9 2" xfId="82" xr:uid="{7E56833C-D27A-4C78-9BBE-A784EBF3829D}"/>
    <cellStyle name="Migliaia 9 2 2" xfId="121" xr:uid="{14C3D034-E0C6-40BC-B8C2-94798582F3B6}"/>
    <cellStyle name="Migliaia 9 2 3" xfId="159" xr:uid="{5D299628-ADF4-4598-BE94-3CF751CA2006}"/>
    <cellStyle name="Migliaia 9 3" xfId="106" xr:uid="{486460EF-1545-4078-96CD-8308AA950D8E}"/>
    <cellStyle name="Migliaia 9 4" xfId="145" xr:uid="{5C736F03-FAB0-4F80-9EAA-956DF4E43AFC}"/>
    <cellStyle name="Neutrale 2" xfId="49" xr:uid="{00000000-0005-0000-0000-00002F000000}"/>
    <cellStyle name="Normale" xfId="0" builtinId="0"/>
    <cellStyle name="Normale 2" xfId="13" xr:uid="{00000000-0005-0000-0000-000031000000}"/>
    <cellStyle name="Normale 2 2" xfId="9" xr:uid="{00000000-0005-0000-0000-000032000000}"/>
    <cellStyle name="Normale 3" xfId="64" xr:uid="{00000000-0005-0000-0000-000033000000}"/>
    <cellStyle name="Normale 3 2" xfId="81" xr:uid="{2D0F350A-2AA9-4986-AC7D-9067370D2A92}"/>
    <cellStyle name="Normale 4" xfId="68" xr:uid="{1A3C1B09-096C-457F-AE50-41B1C7C2E477}"/>
    <cellStyle name="Normale 4 2" xfId="108" xr:uid="{44E4770F-9825-4430-A2FC-73110B4A1652}"/>
    <cellStyle name="Normale_Legenda" xfId="12" xr:uid="{00000000-0005-0000-0000-000034000000}"/>
    <cellStyle name="Normale_Pagamenti 2" xfId="3" xr:uid="{00000000-0005-0000-0000-000035000000}"/>
    <cellStyle name="Nota" xfId="27" builtinId="10" customBuiltin="1"/>
    <cellStyle name="Output" xfId="22" builtinId="21" customBuiltin="1"/>
    <cellStyle name="Percentuale" xfId="5" builtinId="5"/>
    <cellStyle name="Testo avviso" xfId="26" builtinId="11" customBuiltin="1"/>
    <cellStyle name="Testo descrittivo" xfId="28" builtinId="53" customBuiltin="1"/>
    <cellStyle name="Titolo 1" xfId="15" builtinId="16" customBuiltin="1"/>
    <cellStyle name="Titolo 2" xfId="16" builtinId="17" customBuiltin="1"/>
    <cellStyle name="Titolo 3" xfId="17" builtinId="18" customBuiltin="1"/>
    <cellStyle name="Titolo 4" xfId="18" builtinId="19" customBuiltin="1"/>
    <cellStyle name="Titolo 5" xfId="48" xr:uid="{00000000-0005-0000-0000-00003F000000}"/>
    <cellStyle name="Totale" xfId="29" builtinId="25" customBuiltin="1"/>
    <cellStyle name="Valore non valido" xfId="20" builtinId="27" customBuiltin="1"/>
    <cellStyle name="Valore valido" xfId="19" builtinId="26" customBuiltin="1"/>
    <cellStyle name="Valuta 2" xfId="56" xr:uid="{00000000-0005-0000-0000-00004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182880</xdr:colOff>
      <xdr:row>24</xdr:row>
      <xdr:rowOff>144780</xdr:rowOff>
    </xdr:from>
    <xdr:to>
      <xdr:col>8</xdr:col>
      <xdr:colOff>1299845</xdr:colOff>
      <xdr:row>27</xdr:row>
      <xdr:rowOff>130810</xdr:rowOff>
    </xdr:to>
    <xdr:pic>
      <xdr:nvPicPr>
        <xdr:cNvPr id="2" name="Immagine 1">
          <a:extLst>
            <a:ext uri="{FF2B5EF4-FFF2-40B4-BE49-F238E27FC236}">
              <a16:creationId xmlns:a16="http://schemas.microsoft.com/office/drawing/2014/main" id="{E3D6CFA7-839F-4EC8-930A-FE5A6659F5E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 y="4579620"/>
          <a:ext cx="6115685" cy="534670"/>
        </a:xfrm>
        <a:prstGeom prst="rect">
          <a:avLst/>
        </a:prstGeom>
        <a:noFill/>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13"/>
  <sheetViews>
    <sheetView view="pageBreakPreview" topLeftCell="A4" zoomScaleNormal="100" zoomScaleSheetLayoutView="100" workbookViewId="0">
      <selection activeCell="A8" sqref="A8:I13"/>
    </sheetView>
  </sheetViews>
  <sheetFormatPr defaultColWidth="9.140625" defaultRowHeight="15" x14ac:dyDescent="0.25"/>
  <cols>
    <col min="9" max="9" width="32.28515625" customWidth="1"/>
  </cols>
  <sheetData>
    <row r="5" spans="1:9" x14ac:dyDescent="0.25">
      <c r="B5" s="45"/>
    </row>
    <row r="8" spans="1:9" ht="15" customHeight="1" x14ac:dyDescent="0.25">
      <c r="A8" s="750" t="s">
        <v>737</v>
      </c>
      <c r="B8" s="750"/>
      <c r="C8" s="750"/>
      <c r="D8" s="750"/>
      <c r="E8" s="750"/>
      <c r="F8" s="750"/>
      <c r="G8" s="750"/>
      <c r="H8" s="750"/>
      <c r="I8" s="750"/>
    </row>
    <row r="9" spans="1:9" ht="15" customHeight="1" x14ac:dyDescent="0.25">
      <c r="A9" s="750"/>
      <c r="B9" s="750"/>
      <c r="C9" s="750"/>
      <c r="D9" s="750"/>
      <c r="E9" s="750"/>
      <c r="F9" s="750"/>
      <c r="G9" s="750"/>
      <c r="H9" s="750"/>
      <c r="I9" s="750"/>
    </row>
    <row r="10" spans="1:9" ht="15" customHeight="1" x14ac:dyDescent="0.25">
      <c r="A10" s="750"/>
      <c r="B10" s="750"/>
      <c r="C10" s="750"/>
      <c r="D10" s="750"/>
      <c r="E10" s="750"/>
      <c r="F10" s="750"/>
      <c r="G10" s="750"/>
      <c r="H10" s="750"/>
      <c r="I10" s="750"/>
    </row>
    <row r="11" spans="1:9" ht="15" customHeight="1" x14ac:dyDescent="0.25">
      <c r="A11" s="750"/>
      <c r="B11" s="750"/>
      <c r="C11" s="750"/>
      <c r="D11" s="750"/>
      <c r="E11" s="750"/>
      <c r="F11" s="750"/>
      <c r="G11" s="750"/>
      <c r="H11" s="750"/>
      <c r="I11" s="750"/>
    </row>
    <row r="12" spans="1:9" ht="15" customHeight="1" x14ac:dyDescent="0.25">
      <c r="A12" s="750"/>
      <c r="B12" s="750"/>
      <c r="C12" s="750"/>
      <c r="D12" s="750"/>
      <c r="E12" s="750"/>
      <c r="F12" s="750"/>
      <c r="G12" s="750"/>
      <c r="H12" s="750"/>
      <c r="I12" s="750"/>
    </row>
    <row r="13" spans="1:9" ht="30.6" customHeight="1" x14ac:dyDescent="0.25">
      <c r="A13" s="750"/>
      <c r="B13" s="750"/>
      <c r="C13" s="750"/>
      <c r="D13" s="750"/>
      <c r="E13" s="750"/>
      <c r="F13" s="750"/>
      <c r="G13" s="750"/>
      <c r="H13" s="750"/>
      <c r="I13" s="750"/>
    </row>
  </sheetData>
  <mergeCells count="1">
    <mergeCell ref="A8:I13"/>
  </mergeCells>
  <printOptions horizontalCentered="1" verticalCentered="1"/>
  <pageMargins left="0.39370078740157483" right="0.39370078740157483" top="0.39370078740157483" bottom="0.39370078740157483" header="0.31496062992125984" footer="0.31496062992125984"/>
  <pageSetup paperSize="9"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24"/>
  <sheetViews>
    <sheetView view="pageBreakPreview" zoomScaleNormal="100" zoomScaleSheetLayoutView="100" zoomScalePageLayoutView="115" workbookViewId="0">
      <selection activeCell="AA16" activeCellId="1" sqref="Y16 AA16"/>
    </sheetView>
  </sheetViews>
  <sheetFormatPr defaultColWidth="8.7109375" defaultRowHeight="15" x14ac:dyDescent="0.25"/>
  <cols>
    <col min="1" max="1" width="9.140625" customWidth="1"/>
    <col min="2" max="2" width="10.28515625" customWidth="1"/>
    <col min="3" max="3" width="8.85546875" customWidth="1"/>
    <col min="4" max="4" width="11.5703125" customWidth="1"/>
    <col min="5" max="5" width="3.28515625" bestFit="1" customWidth="1"/>
    <col min="6" max="6" width="10" customWidth="1"/>
    <col min="7" max="7" width="4.42578125" bestFit="1" customWidth="1"/>
    <col min="8" max="8" width="5" bestFit="1" customWidth="1"/>
    <col min="9" max="9" width="3.28515625" bestFit="1" customWidth="1"/>
    <col min="10" max="10" width="9.7109375" customWidth="1"/>
    <col min="11" max="12" width="3.28515625" bestFit="1" customWidth="1"/>
    <col min="13" max="13" width="10.140625" customWidth="1"/>
    <col min="14" max="14" width="4.140625" bestFit="1" customWidth="1"/>
    <col min="15" max="15" width="9.28515625" customWidth="1"/>
    <col min="16" max="16" width="9.7109375" customWidth="1"/>
    <col min="17" max="17" width="8.85546875" customWidth="1"/>
    <col min="18" max="18" width="3.28515625" bestFit="1" customWidth="1"/>
    <col min="19" max="19" width="9" customWidth="1"/>
    <col min="20" max="20" width="3.28515625" bestFit="1" customWidth="1"/>
    <col min="21" max="21" width="7.28515625" customWidth="1"/>
    <col min="22" max="22" width="3.28515625" bestFit="1" customWidth="1"/>
    <col min="23" max="23" width="8.85546875" bestFit="1" customWidth="1"/>
    <col min="24" max="24" width="3.28515625" bestFit="1" customWidth="1"/>
    <col min="25" max="25" width="8.85546875" bestFit="1" customWidth="1"/>
    <col min="26" max="26" width="3.28515625" bestFit="1" customWidth="1"/>
    <col min="27" max="27" width="7.7109375" customWidth="1"/>
  </cols>
  <sheetData>
    <row r="1" spans="1:28" x14ac:dyDescent="0.25">
      <c r="A1" s="14" t="s">
        <v>155</v>
      </c>
      <c r="B1" s="14"/>
    </row>
    <row r="2" spans="1:28" s="12" customFormat="1" ht="28.9" customHeight="1" x14ac:dyDescent="0.2">
      <c r="A2" s="943" t="s">
        <v>156</v>
      </c>
      <c r="B2" s="943" t="s">
        <v>282</v>
      </c>
      <c r="C2" s="943" t="s">
        <v>157</v>
      </c>
      <c r="D2" s="943" t="s">
        <v>158</v>
      </c>
      <c r="E2" s="937" t="s">
        <v>337</v>
      </c>
      <c r="F2" s="938"/>
      <c r="G2" s="937" t="s">
        <v>277</v>
      </c>
      <c r="H2" s="938"/>
      <c r="I2" s="937" t="s">
        <v>159</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8"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8"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8" s="12" customFormat="1" ht="11.25"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8" s="92" customFormat="1" ht="20.25" customHeight="1" x14ac:dyDescent="0.2">
      <c r="A6" s="166" t="s">
        <v>75</v>
      </c>
      <c r="B6" s="217">
        <v>6321</v>
      </c>
      <c r="C6" s="159">
        <v>2100155.0099999998</v>
      </c>
      <c r="D6" s="313">
        <v>45488</v>
      </c>
      <c r="E6" s="216">
        <v>10</v>
      </c>
      <c r="F6" s="309">
        <v>2072482.0399999998</v>
      </c>
      <c r="G6" s="290">
        <v>0</v>
      </c>
      <c r="H6" s="290">
        <v>0</v>
      </c>
      <c r="I6" s="216">
        <v>9</v>
      </c>
      <c r="J6" s="309">
        <v>1777526.3800000001</v>
      </c>
      <c r="K6" s="371">
        <f>10-1</f>
        <v>9</v>
      </c>
      <c r="L6" s="371">
        <f>10-1</f>
        <v>9</v>
      </c>
      <c r="M6" s="309">
        <f>1909680.6-132154.22</f>
        <v>1777526.3800000001</v>
      </c>
      <c r="N6" s="208">
        <v>1</v>
      </c>
      <c r="O6" s="309">
        <v>132154.22</v>
      </c>
      <c r="P6" s="18">
        <f>J6-M6</f>
        <v>0</v>
      </c>
      <c r="Q6" s="58">
        <f>C6-J6</f>
        <v>322628.62999999966</v>
      </c>
      <c r="R6" s="58">
        <v>9</v>
      </c>
      <c r="S6" s="207">
        <v>1603311.5</v>
      </c>
      <c r="T6" s="76">
        <v>0</v>
      </c>
      <c r="U6" s="76">
        <v>0</v>
      </c>
      <c r="V6" s="76">
        <v>0</v>
      </c>
      <c r="W6" s="76">
        <v>0</v>
      </c>
      <c r="X6" s="76">
        <v>0</v>
      </c>
      <c r="Y6" s="76">
        <v>0</v>
      </c>
      <c r="Z6" s="76">
        <v>0</v>
      </c>
      <c r="AA6" s="76">
        <v>0</v>
      </c>
    </row>
    <row r="7" spans="1:28" s="12" customFormat="1" ht="21" customHeight="1" x14ac:dyDescent="0.2">
      <c r="A7" s="19" t="s">
        <v>163</v>
      </c>
      <c r="B7" s="59"/>
      <c r="C7" s="20">
        <f>SUM(C6:C6)</f>
        <v>2100155.0099999998</v>
      </c>
      <c r="D7" s="20"/>
      <c r="E7" s="20">
        <f>E6</f>
        <v>10</v>
      </c>
      <c r="F7" s="20">
        <f t="shared" ref="F7:AA7" si="0">F6</f>
        <v>2072482.0399999998</v>
      </c>
      <c r="G7" s="20">
        <f t="shared" si="0"/>
        <v>0</v>
      </c>
      <c r="H7" s="20">
        <f t="shared" si="0"/>
        <v>0</v>
      </c>
      <c r="I7" s="20">
        <f t="shared" si="0"/>
        <v>9</v>
      </c>
      <c r="J7" s="20">
        <f t="shared" si="0"/>
        <v>1777526.3800000001</v>
      </c>
      <c r="K7" s="20">
        <f t="shared" si="0"/>
        <v>9</v>
      </c>
      <c r="L7" s="20">
        <f t="shared" si="0"/>
        <v>9</v>
      </c>
      <c r="M7" s="20">
        <f t="shared" si="0"/>
        <v>1777526.3800000001</v>
      </c>
      <c r="N7" s="20">
        <f t="shared" si="0"/>
        <v>1</v>
      </c>
      <c r="O7" s="20">
        <f t="shared" si="0"/>
        <v>132154.22</v>
      </c>
      <c r="P7" s="20">
        <f t="shared" si="0"/>
        <v>0</v>
      </c>
      <c r="Q7" s="20">
        <f t="shared" si="0"/>
        <v>322628.62999999966</v>
      </c>
      <c r="R7" s="20">
        <f t="shared" si="0"/>
        <v>9</v>
      </c>
      <c r="S7" s="20">
        <f t="shared" si="0"/>
        <v>1603311.5</v>
      </c>
      <c r="T7" s="20">
        <f t="shared" si="0"/>
        <v>0</v>
      </c>
      <c r="U7" s="79">
        <f t="shared" si="0"/>
        <v>0</v>
      </c>
      <c r="V7" s="79">
        <f t="shared" si="0"/>
        <v>0</v>
      </c>
      <c r="W7" s="79">
        <f t="shared" si="0"/>
        <v>0</v>
      </c>
      <c r="X7" s="79">
        <f t="shared" si="0"/>
        <v>0</v>
      </c>
      <c r="Y7" s="79">
        <f t="shared" si="0"/>
        <v>0</v>
      </c>
      <c r="Z7" s="79">
        <f t="shared" si="0"/>
        <v>0</v>
      </c>
      <c r="AA7" s="79">
        <f t="shared" si="0"/>
        <v>0</v>
      </c>
    </row>
    <row r="8" spans="1:28" s="5" customFormat="1" ht="11.25" x14ac:dyDescent="0.2"/>
    <row r="9" spans="1:28" x14ac:dyDescent="0.25">
      <c r="A9" s="14" t="s">
        <v>164</v>
      </c>
      <c r="B9" s="14"/>
    </row>
    <row r="10" spans="1:28" s="12" customFormat="1" ht="28.9" customHeight="1" x14ac:dyDescent="0.2">
      <c r="A10" s="943" t="s">
        <v>156</v>
      </c>
      <c r="B10" s="943" t="s">
        <v>282</v>
      </c>
      <c r="C10" s="943" t="s">
        <v>157</v>
      </c>
      <c r="D10" s="943" t="s">
        <v>158</v>
      </c>
      <c r="E10" s="937" t="s">
        <v>337</v>
      </c>
      <c r="F10" s="938"/>
      <c r="G10" s="937" t="s">
        <v>277</v>
      </c>
      <c r="H10" s="938"/>
      <c r="I10" s="937" t="s">
        <v>159</v>
      </c>
      <c r="J10" s="938"/>
      <c r="K10" s="947" t="s">
        <v>749</v>
      </c>
      <c r="L10" s="948"/>
      <c r="M10" s="948"/>
      <c r="N10" s="948"/>
      <c r="O10" s="949"/>
      <c r="P10" s="943" t="s">
        <v>250</v>
      </c>
      <c r="Q10" s="943" t="s">
        <v>625</v>
      </c>
      <c r="R10" s="937" t="s">
        <v>750</v>
      </c>
      <c r="S10" s="938"/>
      <c r="T10" s="937" t="s">
        <v>751</v>
      </c>
      <c r="U10" s="938"/>
      <c r="V10" s="936" t="s">
        <v>751</v>
      </c>
      <c r="W10" s="936"/>
      <c r="X10" s="936"/>
      <c r="Y10" s="936"/>
      <c r="Z10" s="936"/>
      <c r="AA10" s="936"/>
    </row>
    <row r="11" spans="1:28" s="12" customFormat="1" ht="14.45" customHeight="1" x14ac:dyDescent="0.2">
      <c r="A11" s="944"/>
      <c r="B11" s="944"/>
      <c r="C11" s="944"/>
      <c r="D11" s="944"/>
      <c r="E11" s="939"/>
      <c r="F11" s="940"/>
      <c r="G11" s="939"/>
      <c r="H11" s="940"/>
      <c r="I11" s="939"/>
      <c r="J11" s="940"/>
      <c r="K11" s="947" t="s">
        <v>160</v>
      </c>
      <c r="L11" s="948"/>
      <c r="M11" s="949"/>
      <c r="N11" s="937" t="s">
        <v>626</v>
      </c>
      <c r="O11" s="938"/>
      <c r="P11" s="944"/>
      <c r="Q11" s="944"/>
      <c r="R11" s="939"/>
      <c r="S11" s="940"/>
      <c r="T11" s="939"/>
      <c r="U11" s="940"/>
      <c r="V11" s="936"/>
      <c r="W11" s="936"/>
      <c r="X11" s="936"/>
      <c r="Y11" s="936"/>
      <c r="Z11" s="936"/>
      <c r="AA11" s="936"/>
    </row>
    <row r="12" spans="1:28" s="12" customFormat="1" ht="20.25" customHeight="1" x14ac:dyDescent="0.2">
      <c r="A12" s="944"/>
      <c r="B12" s="944"/>
      <c r="C12" s="944"/>
      <c r="D12" s="944"/>
      <c r="E12" s="941"/>
      <c r="F12" s="942"/>
      <c r="G12" s="941"/>
      <c r="H12" s="942"/>
      <c r="I12" s="941"/>
      <c r="J12" s="942"/>
      <c r="K12" s="950" t="s">
        <v>161</v>
      </c>
      <c r="L12" s="947" t="s">
        <v>247</v>
      </c>
      <c r="M12" s="949"/>
      <c r="N12" s="941"/>
      <c r="O12" s="942"/>
      <c r="P12" s="946"/>
      <c r="Q12" s="946"/>
      <c r="R12" s="941"/>
      <c r="S12" s="942"/>
      <c r="T12" s="941"/>
      <c r="U12" s="942"/>
      <c r="V12" s="936" t="s">
        <v>584</v>
      </c>
      <c r="W12" s="936"/>
      <c r="X12" s="936" t="s">
        <v>585</v>
      </c>
      <c r="Y12" s="936"/>
      <c r="Z12" s="936" t="s">
        <v>586</v>
      </c>
      <c r="AA12" s="936"/>
    </row>
    <row r="13" spans="1:28" s="12" customFormat="1" ht="11.25" x14ac:dyDescent="0.2">
      <c r="A13" s="945"/>
      <c r="B13" s="945"/>
      <c r="C13" s="945"/>
      <c r="D13" s="945"/>
      <c r="E13" s="154" t="s">
        <v>161</v>
      </c>
      <c r="F13" s="125" t="s">
        <v>162</v>
      </c>
      <c r="G13" s="15" t="s">
        <v>161</v>
      </c>
      <c r="H13" s="16" t="s">
        <v>162</v>
      </c>
      <c r="I13" s="154" t="s">
        <v>161</v>
      </c>
      <c r="J13" s="125" t="s">
        <v>162</v>
      </c>
      <c r="K13" s="951"/>
      <c r="L13" s="154" t="s">
        <v>161</v>
      </c>
      <c r="M13" s="125" t="s">
        <v>162</v>
      </c>
      <c r="N13" s="154" t="s">
        <v>161</v>
      </c>
      <c r="O13" s="125" t="s">
        <v>162</v>
      </c>
      <c r="P13" s="16" t="s">
        <v>162</v>
      </c>
      <c r="Q13" s="16" t="s">
        <v>162</v>
      </c>
      <c r="R13" s="15" t="s">
        <v>161</v>
      </c>
      <c r="S13" s="16" t="s">
        <v>162</v>
      </c>
      <c r="T13" s="77" t="s">
        <v>161</v>
      </c>
      <c r="U13" s="78" t="s">
        <v>162</v>
      </c>
      <c r="V13" s="218" t="s">
        <v>161</v>
      </c>
      <c r="W13" s="209" t="s">
        <v>162</v>
      </c>
      <c r="X13" s="218" t="s">
        <v>161</v>
      </c>
      <c r="Y13" s="209" t="s">
        <v>162</v>
      </c>
      <c r="Z13" s="218" t="s">
        <v>161</v>
      </c>
      <c r="AA13" s="209" t="s">
        <v>162</v>
      </c>
    </row>
    <row r="14" spans="1:28" s="92" customFormat="1" ht="28.15" customHeight="1" x14ac:dyDescent="0.2">
      <c r="A14" s="312" t="s">
        <v>258</v>
      </c>
      <c r="B14" s="362" t="s">
        <v>543</v>
      </c>
      <c r="C14" s="382">
        <v>2334291.34</v>
      </c>
      <c r="D14" s="313">
        <v>44104</v>
      </c>
      <c r="E14" s="320">
        <v>26</v>
      </c>
      <c r="F14" s="325">
        <v>3074685</v>
      </c>
      <c r="G14" s="326">
        <v>0</v>
      </c>
      <c r="H14" s="290">
        <v>0</v>
      </c>
      <c r="I14" s="34">
        <v>11</v>
      </c>
      <c r="J14" s="571">
        <v>1172187.25</v>
      </c>
      <c r="K14" s="34">
        <f>14-3</f>
        <v>11</v>
      </c>
      <c r="L14" s="76">
        <f>14-3</f>
        <v>11</v>
      </c>
      <c r="M14" s="58">
        <f>1509535.75-337348.5</f>
        <v>1172187.25</v>
      </c>
      <c r="N14" s="208">
        <f>7+5+3</f>
        <v>15</v>
      </c>
      <c r="O14" s="207">
        <f>740652+719850+337348.5</f>
        <v>1797850.5</v>
      </c>
      <c r="P14" s="18">
        <f>J14-M14</f>
        <v>0</v>
      </c>
      <c r="Q14" s="952">
        <v>0</v>
      </c>
      <c r="R14" s="58">
        <v>17</v>
      </c>
      <c r="S14" s="207">
        <v>863924.79</v>
      </c>
      <c r="T14" s="58">
        <v>17</v>
      </c>
      <c r="U14" s="18">
        <v>857291.94</v>
      </c>
      <c r="V14" s="187">
        <v>0</v>
      </c>
      <c r="W14" s="187">
        <v>0</v>
      </c>
      <c r="X14" s="58">
        <v>3</v>
      </c>
      <c r="Y14" s="18">
        <v>196861.87</v>
      </c>
      <c r="Z14" s="187">
        <v>8</v>
      </c>
      <c r="AA14" s="18">
        <v>660430.06999999995</v>
      </c>
    </row>
    <row r="15" spans="1:28" s="92" customFormat="1" ht="33.6" customHeight="1" x14ac:dyDescent="0.2">
      <c r="A15" s="331" t="s">
        <v>627</v>
      </c>
      <c r="B15" s="217" t="s">
        <v>598</v>
      </c>
      <c r="C15" s="177">
        <v>3123967</v>
      </c>
      <c r="D15" s="332">
        <v>45131</v>
      </c>
      <c r="E15" s="58">
        <v>12</v>
      </c>
      <c r="F15" s="58">
        <v>1302744</v>
      </c>
      <c r="G15" s="326">
        <v>0</v>
      </c>
      <c r="H15" s="290">
        <v>0</v>
      </c>
      <c r="I15" s="58">
        <v>12</v>
      </c>
      <c r="J15" s="58">
        <v>1232436</v>
      </c>
      <c r="K15" s="342">
        <v>12</v>
      </c>
      <c r="L15" s="58">
        <v>12</v>
      </c>
      <c r="M15" s="58">
        <v>1232436</v>
      </c>
      <c r="N15" s="58">
        <v>0</v>
      </c>
      <c r="O15" s="58">
        <v>0</v>
      </c>
      <c r="P15" s="58">
        <f>J15-M15</f>
        <v>0</v>
      </c>
      <c r="Q15" s="953"/>
      <c r="R15" s="58">
        <v>11</v>
      </c>
      <c r="S15" s="58">
        <v>833590</v>
      </c>
      <c r="T15" s="58">
        <v>8</v>
      </c>
      <c r="U15" s="58">
        <v>513794</v>
      </c>
      <c r="V15" s="58">
        <v>0</v>
      </c>
      <c r="W15" s="58">
        <v>0</v>
      </c>
      <c r="X15" s="58">
        <v>2</v>
      </c>
      <c r="Y15" s="58">
        <v>67394</v>
      </c>
      <c r="Z15" s="58">
        <v>6</v>
      </c>
      <c r="AA15" s="58">
        <v>446400</v>
      </c>
    </row>
    <row r="16" spans="1:28" x14ac:dyDescent="0.25">
      <c r="A16" s="19" t="s">
        <v>165</v>
      </c>
      <c r="B16" s="59"/>
      <c r="C16" s="20">
        <f>SUM(C14:C15)</f>
        <v>5458258.3399999999</v>
      </c>
      <c r="D16" s="20"/>
      <c r="E16" s="20">
        <f>SUM(E14:E15)</f>
        <v>38</v>
      </c>
      <c r="F16" s="20">
        <f t="shared" ref="F16:U16" si="1">SUM(F14:F15)</f>
        <v>4377429</v>
      </c>
      <c r="G16" s="20">
        <f t="shared" si="1"/>
        <v>0</v>
      </c>
      <c r="H16" s="20">
        <f t="shared" si="1"/>
        <v>0</v>
      </c>
      <c r="I16" s="20">
        <f t="shared" si="1"/>
        <v>23</v>
      </c>
      <c r="J16" s="20">
        <f>SUM(J14:J15)</f>
        <v>2404623.25</v>
      </c>
      <c r="K16" s="20">
        <f t="shared" si="1"/>
        <v>23</v>
      </c>
      <c r="L16" s="20">
        <f t="shared" si="1"/>
        <v>23</v>
      </c>
      <c r="M16" s="20">
        <f t="shared" si="1"/>
        <v>2404623.25</v>
      </c>
      <c r="N16" s="20">
        <f t="shared" si="1"/>
        <v>15</v>
      </c>
      <c r="O16" s="20">
        <f t="shared" si="1"/>
        <v>1797850.5</v>
      </c>
      <c r="P16" s="20">
        <f t="shared" si="1"/>
        <v>0</v>
      </c>
      <c r="Q16" s="20">
        <f t="shared" si="1"/>
        <v>0</v>
      </c>
      <c r="R16" s="20">
        <f t="shared" si="1"/>
        <v>28</v>
      </c>
      <c r="S16" s="20">
        <f t="shared" si="1"/>
        <v>1697514.79</v>
      </c>
      <c r="T16" s="20">
        <f t="shared" si="1"/>
        <v>25</v>
      </c>
      <c r="U16" s="20">
        <f t="shared" si="1"/>
        <v>1371085.94</v>
      </c>
      <c r="V16" s="20">
        <f t="shared" ref="V16:Z16" si="2">SUM(V14:V15)</f>
        <v>0</v>
      </c>
      <c r="W16" s="20">
        <f t="shared" si="2"/>
        <v>0</v>
      </c>
      <c r="X16" s="20">
        <f t="shared" si="2"/>
        <v>5</v>
      </c>
      <c r="Y16" s="20">
        <f>SUM(Y14:Y15)</f>
        <v>264255.87</v>
      </c>
      <c r="Z16" s="20">
        <f t="shared" si="2"/>
        <v>14</v>
      </c>
      <c r="AA16" s="20">
        <f>SUM(AA14:AA15)</f>
        <v>1106830.0699999998</v>
      </c>
      <c r="AB16" s="50"/>
    </row>
    <row r="17" spans="1:27" ht="15" customHeight="1" x14ac:dyDescent="0.25">
      <c r="A17" s="155" t="s">
        <v>390</v>
      </c>
      <c r="B17" s="134"/>
      <c r="C17" s="134"/>
      <c r="D17" s="134"/>
      <c r="E17" s="134"/>
      <c r="F17" s="134"/>
      <c r="G17" s="134"/>
      <c r="H17" s="134"/>
      <c r="I17" s="134"/>
      <c r="J17" s="134"/>
      <c r="K17" s="134"/>
      <c r="L17" s="134"/>
      <c r="M17" s="134"/>
      <c r="N17" s="134"/>
      <c r="O17" s="134"/>
      <c r="P17" s="134"/>
      <c r="Q17" s="134"/>
      <c r="R17" s="134"/>
      <c r="S17" s="134"/>
      <c r="T17" s="134"/>
      <c r="U17" s="134"/>
    </row>
    <row r="18" spans="1:27" ht="15" customHeight="1" x14ac:dyDescent="0.25">
      <c r="A18" s="155" t="s">
        <v>718</v>
      </c>
      <c r="B18" s="134"/>
      <c r="C18" s="134"/>
      <c r="D18" s="134"/>
      <c r="E18" s="134"/>
      <c r="F18" s="134"/>
      <c r="G18" s="134"/>
      <c r="H18" s="134"/>
      <c r="I18" s="134"/>
      <c r="J18" s="134"/>
      <c r="K18" s="134"/>
      <c r="L18" s="134"/>
      <c r="M18" s="134"/>
      <c r="N18" s="134"/>
      <c r="O18" s="134"/>
      <c r="P18" s="134"/>
      <c r="Q18" s="134"/>
      <c r="R18" s="134"/>
      <c r="S18" s="134"/>
      <c r="T18" s="134"/>
      <c r="U18" s="134"/>
    </row>
    <row r="19" spans="1:27" s="23" customFormat="1" ht="18.600000000000001" customHeight="1" x14ac:dyDescent="0.25">
      <c r="A19" s="935" t="s">
        <v>744</v>
      </c>
      <c r="B19" s="935"/>
      <c r="C19" s="935"/>
      <c r="D19" s="935"/>
      <c r="E19" s="935"/>
      <c r="F19" s="935"/>
      <c r="G19" s="935"/>
      <c r="H19" s="935"/>
      <c r="I19" s="935"/>
      <c r="J19" s="935"/>
      <c r="K19" s="935"/>
      <c r="L19" s="935"/>
      <c r="M19" s="935"/>
      <c r="N19" s="935"/>
      <c r="O19" s="935"/>
      <c r="P19" s="935"/>
      <c r="Q19" s="935"/>
      <c r="R19" s="935"/>
      <c r="S19" s="935"/>
      <c r="T19" s="935"/>
      <c r="U19" s="935"/>
      <c r="V19" s="935"/>
      <c r="W19" s="935"/>
      <c r="X19" s="935"/>
      <c r="Y19" s="935"/>
      <c r="Z19" s="935"/>
      <c r="AA19" s="935"/>
    </row>
    <row r="20" spans="1:27" x14ac:dyDescent="0.25">
      <c r="A20" s="12"/>
      <c r="B20" s="12"/>
    </row>
    <row r="22" spans="1:27" x14ac:dyDescent="0.25">
      <c r="P22" s="185"/>
    </row>
    <row r="24" spans="1:27" x14ac:dyDescent="0.25">
      <c r="O24" s="185"/>
    </row>
  </sheetData>
  <mergeCells count="42">
    <mergeCell ref="Q14:Q15"/>
    <mergeCell ref="A10:A13"/>
    <mergeCell ref="C10:C13"/>
    <mergeCell ref="D10:D13"/>
    <mergeCell ref="E10:F12"/>
    <mergeCell ref="I10:J12"/>
    <mergeCell ref="G10:H12"/>
    <mergeCell ref="B10:B13"/>
    <mergeCell ref="Q2:Q4"/>
    <mergeCell ref="Q10:Q12"/>
    <mergeCell ref="K10:O10"/>
    <mergeCell ref="P10:P12"/>
    <mergeCell ref="I2:J4"/>
    <mergeCell ref="L4:M4"/>
    <mergeCell ref="K3:M3"/>
    <mergeCell ref="R10:S12"/>
    <mergeCell ref="T10:U12"/>
    <mergeCell ref="K11:M11"/>
    <mergeCell ref="N11:O12"/>
    <mergeCell ref="K12:K13"/>
    <mergeCell ref="L12:M12"/>
    <mergeCell ref="B2:B5"/>
    <mergeCell ref="K2:O2"/>
    <mergeCell ref="E2:F4"/>
    <mergeCell ref="K4:K5"/>
    <mergeCell ref="N3:O4"/>
    <mergeCell ref="A19:AA19"/>
    <mergeCell ref="V12:W12"/>
    <mergeCell ref="X12:Y12"/>
    <mergeCell ref="Z12:AA12"/>
    <mergeCell ref="V2:AA3"/>
    <mergeCell ref="V4:W4"/>
    <mergeCell ref="X4:Y4"/>
    <mergeCell ref="Z4:AA4"/>
    <mergeCell ref="V10:AA11"/>
    <mergeCell ref="R2:S4"/>
    <mergeCell ref="T2:U4"/>
    <mergeCell ref="A2:A5"/>
    <mergeCell ref="C2:C5"/>
    <mergeCell ref="D2:D5"/>
    <mergeCell ref="P2:P4"/>
    <mergeCell ref="G2:H4"/>
  </mergeCells>
  <phoneticPr fontId="33" type="noConversion"/>
  <pageMargins left="0.51181102362204722" right="0.51181102362204722" top="0.74803149606299213" bottom="0.74803149606299213" header="0.31496062992125984" footer="0.31496062992125984"/>
  <pageSetup paperSize="9" scale="7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29"/>
  <sheetViews>
    <sheetView view="pageBreakPreview" topLeftCell="A10" zoomScaleNormal="100" zoomScaleSheetLayoutView="100" workbookViewId="0">
      <selection activeCell="R22" sqref="R22:S22"/>
    </sheetView>
  </sheetViews>
  <sheetFormatPr defaultColWidth="8.7109375" defaultRowHeight="15" x14ac:dyDescent="0.25"/>
  <cols>
    <col min="1" max="1" width="10.5703125" customWidth="1"/>
    <col min="2" max="2" width="5.85546875" customWidth="1"/>
    <col min="3" max="3" width="9.42578125" customWidth="1"/>
    <col min="4" max="4" width="8.85546875" bestFit="1" customWidth="1"/>
    <col min="5" max="5" width="4.28515625" bestFit="1" customWidth="1"/>
    <col min="6" max="6" width="9.7109375" bestFit="1" customWidth="1"/>
    <col min="7" max="7" width="3.140625" bestFit="1" customWidth="1"/>
    <col min="8" max="8" width="6.28515625" bestFit="1" customWidth="1"/>
    <col min="9" max="9" width="4.28515625" bestFit="1" customWidth="1"/>
    <col min="10" max="10" width="8.5703125" customWidth="1"/>
    <col min="11" max="12" width="4.28515625" bestFit="1" customWidth="1"/>
    <col min="13" max="13" width="9.140625" customWidth="1"/>
    <col min="14" max="14" width="3.28515625" bestFit="1" customWidth="1"/>
    <col min="15" max="15" width="8.85546875" customWidth="1"/>
    <col min="16" max="16" width="8.7109375" customWidth="1"/>
    <col min="17" max="17" width="7.7109375" customWidth="1"/>
    <col min="18" max="18" width="5" customWidth="1"/>
    <col min="19" max="19" width="9.7109375" bestFit="1" customWidth="1"/>
    <col min="20" max="20" width="5.140625" customWidth="1"/>
    <col min="21" max="21" width="8.140625" customWidth="1"/>
    <col min="22" max="22" width="3.140625" bestFit="1" customWidth="1"/>
    <col min="23" max="23" width="11.140625" bestFit="1" customWidth="1"/>
    <col min="24" max="24" width="3.140625" bestFit="1" customWidth="1"/>
    <col min="25" max="25" width="11.140625" bestFit="1" customWidth="1"/>
    <col min="26" max="26" width="5.7109375" customWidth="1"/>
    <col min="28" max="28" width="10.42578125" bestFit="1" customWidth="1"/>
  </cols>
  <sheetData>
    <row r="1" spans="1:27" x14ac:dyDescent="0.25">
      <c r="A1" s="220" t="s">
        <v>166</v>
      </c>
      <c r="B1" s="220"/>
      <c r="C1" s="220"/>
      <c r="D1" s="220"/>
      <c r="E1" s="220"/>
      <c r="F1" s="220"/>
      <c r="G1" s="220"/>
      <c r="H1" s="220"/>
      <c r="I1" s="220"/>
      <c r="J1" s="220"/>
      <c r="K1" s="220"/>
      <c r="L1" s="220"/>
      <c r="M1" s="220"/>
      <c r="N1" s="220"/>
      <c r="O1" s="220"/>
      <c r="P1" s="220"/>
      <c r="Q1" s="220"/>
      <c r="R1" s="220"/>
      <c r="S1" s="220"/>
      <c r="T1" s="220"/>
      <c r="U1" s="220"/>
      <c r="V1" s="220"/>
    </row>
    <row r="2" spans="1:27" s="12" customFormat="1" ht="28.9" customHeight="1" x14ac:dyDescent="0.2">
      <c r="A2" s="943" t="s">
        <v>156</v>
      </c>
      <c r="B2" s="943" t="s">
        <v>282</v>
      </c>
      <c r="C2" s="943" t="s">
        <v>157</v>
      </c>
      <c r="D2" s="943" t="s">
        <v>158</v>
      </c>
      <c r="E2" s="937" t="s">
        <v>337</v>
      </c>
      <c r="F2" s="938"/>
      <c r="G2" s="937" t="s">
        <v>277</v>
      </c>
      <c r="H2" s="938"/>
      <c r="I2" s="937" t="s">
        <v>159</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7"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7"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7"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7" s="23" customFormat="1" x14ac:dyDescent="0.25">
      <c r="A6" s="29" t="s">
        <v>167</v>
      </c>
      <c r="B6" s="29">
        <v>1379</v>
      </c>
      <c r="C6" s="959">
        <f>1349851.24+180000</f>
        <v>1529851.24</v>
      </c>
      <c r="D6" s="291">
        <v>42704</v>
      </c>
      <c r="E6" s="25">
        <v>10</v>
      </c>
      <c r="F6" s="292">
        <v>9744.6299999999992</v>
      </c>
      <c r="G6" s="293">
        <v>0</v>
      </c>
      <c r="H6" s="293">
        <v>0</v>
      </c>
      <c r="I6" s="212">
        <v>3</v>
      </c>
      <c r="J6" s="71">
        <v>1438.37</v>
      </c>
      <c r="K6" s="214">
        <v>3</v>
      </c>
      <c r="L6" s="212">
        <v>3</v>
      </c>
      <c r="M6" s="71">
        <v>1438.37</v>
      </c>
      <c r="N6" s="213">
        <v>5</v>
      </c>
      <c r="O6" s="71">
        <v>6779.57</v>
      </c>
      <c r="P6" s="58">
        <v>0</v>
      </c>
      <c r="Q6" s="952">
        <f>C14-J14</f>
        <v>138642.59999999986</v>
      </c>
      <c r="R6" s="71">
        <v>2</v>
      </c>
      <c r="S6" s="71">
        <v>691.37</v>
      </c>
      <c r="T6" s="71">
        <v>2</v>
      </c>
      <c r="U6" s="71">
        <v>652.83999999999992</v>
      </c>
      <c r="V6" s="71">
        <v>0</v>
      </c>
      <c r="W6" s="71">
        <v>0</v>
      </c>
      <c r="X6" s="71">
        <v>0</v>
      </c>
      <c r="Y6" s="71">
        <v>0</v>
      </c>
      <c r="Z6" s="71">
        <v>2</v>
      </c>
      <c r="AA6" s="71">
        <v>652.83999999999992</v>
      </c>
    </row>
    <row r="7" spans="1:27" s="23" customFormat="1" x14ac:dyDescent="0.25">
      <c r="A7" s="29" t="s">
        <v>168</v>
      </c>
      <c r="B7" s="29">
        <v>2802</v>
      </c>
      <c r="C7" s="960"/>
      <c r="D7" s="291">
        <v>43069</v>
      </c>
      <c r="E7" s="1">
        <v>361</v>
      </c>
      <c r="F7" s="24">
        <v>186599.8</v>
      </c>
      <c r="G7" s="117">
        <v>0</v>
      </c>
      <c r="H7" s="117">
        <v>0</v>
      </c>
      <c r="I7" s="212">
        <v>290</v>
      </c>
      <c r="J7" s="294">
        <f>M7+P7</f>
        <v>142077.01999999999</v>
      </c>
      <c r="K7" s="214">
        <v>290</v>
      </c>
      <c r="L7" s="212">
        <v>289</v>
      </c>
      <c r="M7" s="71">
        <v>142077.01999999999</v>
      </c>
      <c r="N7" s="213">
        <v>70</v>
      </c>
      <c r="O7" s="71">
        <v>36812.85</v>
      </c>
      <c r="P7" s="58">
        <v>0</v>
      </c>
      <c r="Q7" s="955"/>
      <c r="R7" s="71">
        <v>238</v>
      </c>
      <c r="S7" s="71">
        <v>116294.25999999997</v>
      </c>
      <c r="T7" s="71">
        <v>237</v>
      </c>
      <c r="U7" s="71">
        <v>114143.51999999997</v>
      </c>
      <c r="V7" s="71">
        <v>0</v>
      </c>
      <c r="W7" s="71">
        <v>0</v>
      </c>
      <c r="X7" s="71">
        <v>0</v>
      </c>
      <c r="Y7" s="71">
        <v>0</v>
      </c>
      <c r="Z7" s="71">
        <v>237</v>
      </c>
      <c r="AA7" s="71">
        <v>114143.51999999997</v>
      </c>
    </row>
    <row r="8" spans="1:27" s="23" customFormat="1" x14ac:dyDescent="0.25">
      <c r="A8" s="29" t="s">
        <v>169</v>
      </c>
      <c r="B8" s="29">
        <v>20161</v>
      </c>
      <c r="C8" s="960"/>
      <c r="D8" s="291">
        <v>43454.999988425923</v>
      </c>
      <c r="E8" s="1">
        <v>369</v>
      </c>
      <c r="F8" s="24">
        <v>212684.47</v>
      </c>
      <c r="G8" s="117">
        <v>0</v>
      </c>
      <c r="H8" s="117">
        <v>0</v>
      </c>
      <c r="I8" s="212">
        <v>326</v>
      </c>
      <c r="J8" s="71">
        <v>180557.86</v>
      </c>
      <c r="K8" s="214">
        <v>326</v>
      </c>
      <c r="L8" s="212">
        <v>326</v>
      </c>
      <c r="M8" s="71">
        <v>180557.86</v>
      </c>
      <c r="N8" s="213">
        <v>43</v>
      </c>
      <c r="O8" s="71">
        <v>25335</v>
      </c>
      <c r="P8" s="58">
        <v>0</v>
      </c>
      <c r="Q8" s="955"/>
      <c r="R8" s="71">
        <v>258</v>
      </c>
      <c r="S8" s="71">
        <v>138131.18999999997</v>
      </c>
      <c r="T8" s="71">
        <v>244</v>
      </c>
      <c r="U8" s="71">
        <v>128477.40000000001</v>
      </c>
      <c r="V8" s="71">
        <v>0</v>
      </c>
      <c r="W8" s="71">
        <v>0</v>
      </c>
      <c r="X8" s="71">
        <v>0</v>
      </c>
      <c r="Y8" s="71">
        <v>0</v>
      </c>
      <c r="Z8" s="71">
        <v>244</v>
      </c>
      <c r="AA8" s="71">
        <v>128477.40000000001</v>
      </c>
    </row>
    <row r="9" spans="1:27" s="23" customFormat="1" x14ac:dyDescent="0.25">
      <c r="A9" s="174" t="s">
        <v>170</v>
      </c>
      <c r="B9" s="174">
        <v>23562</v>
      </c>
      <c r="C9" s="960"/>
      <c r="D9" s="295">
        <v>43817</v>
      </c>
      <c r="E9" s="158">
        <v>519</v>
      </c>
      <c r="F9" s="117">
        <v>300199</v>
      </c>
      <c r="G9" s="117">
        <v>1</v>
      </c>
      <c r="H9" s="117">
        <v>427.29999999998836</v>
      </c>
      <c r="I9" s="212">
        <v>484</v>
      </c>
      <c r="J9" s="71">
        <v>276073.09999999986</v>
      </c>
      <c r="K9" s="213">
        <v>484</v>
      </c>
      <c r="L9" s="212">
        <v>484</v>
      </c>
      <c r="M9" s="71">
        <v>276073.09999999986</v>
      </c>
      <c r="N9" s="213">
        <v>35</v>
      </c>
      <c r="O9" s="71">
        <v>17846.78</v>
      </c>
      <c r="P9" s="58">
        <v>0</v>
      </c>
      <c r="Q9" s="955"/>
      <c r="R9" s="71">
        <v>418</v>
      </c>
      <c r="S9" s="71">
        <v>233079.5</v>
      </c>
      <c r="T9" s="71">
        <v>409</v>
      </c>
      <c r="U9" s="71">
        <v>228368.96999999994</v>
      </c>
      <c r="V9" s="71">
        <v>0</v>
      </c>
      <c r="W9" s="71">
        <v>0</v>
      </c>
      <c r="X9" s="71">
        <v>0</v>
      </c>
      <c r="Y9" s="71">
        <v>0</v>
      </c>
      <c r="Z9" s="71">
        <v>403</v>
      </c>
      <c r="AA9" s="71">
        <v>228368.96999999994</v>
      </c>
    </row>
    <row r="10" spans="1:27" s="23" customFormat="1" x14ac:dyDescent="0.25">
      <c r="A10" s="174" t="s">
        <v>296</v>
      </c>
      <c r="B10" s="282">
        <v>43023</v>
      </c>
      <c r="C10" s="960"/>
      <c r="D10" s="295">
        <v>44110</v>
      </c>
      <c r="E10" s="282">
        <v>599</v>
      </c>
      <c r="F10" s="153">
        <v>371752.14</v>
      </c>
      <c r="G10" s="117">
        <v>0</v>
      </c>
      <c r="H10" s="117">
        <v>0</v>
      </c>
      <c r="I10" s="212">
        <v>543</v>
      </c>
      <c r="J10" s="153">
        <f>M10+294.63</f>
        <v>319394.27000000019</v>
      </c>
      <c r="K10" s="242">
        <v>543</v>
      </c>
      <c r="L10" s="242">
        <v>542</v>
      </c>
      <c r="M10" s="243">
        <v>319099.64000000019</v>
      </c>
      <c r="N10" s="213">
        <v>42</v>
      </c>
      <c r="O10" s="242">
        <v>27287.059999999998</v>
      </c>
      <c r="P10" s="58">
        <f>J10-M10</f>
        <v>294.63000000000466</v>
      </c>
      <c r="Q10" s="955"/>
      <c r="R10" s="71">
        <v>441</v>
      </c>
      <c r="S10" s="71">
        <v>257586.38999999996</v>
      </c>
      <c r="T10" s="71">
        <v>417</v>
      </c>
      <c r="U10" s="71">
        <v>240489.93000000005</v>
      </c>
      <c r="V10" s="71">
        <v>0</v>
      </c>
      <c r="W10" s="71">
        <v>0</v>
      </c>
      <c r="X10" s="71">
        <v>0</v>
      </c>
      <c r="Y10" s="71">
        <v>0</v>
      </c>
      <c r="Z10" s="71">
        <v>416</v>
      </c>
      <c r="AA10" s="71">
        <v>240489.92999999996</v>
      </c>
    </row>
    <row r="11" spans="1:27" s="23" customFormat="1" x14ac:dyDescent="0.25">
      <c r="A11" s="174" t="s">
        <v>391</v>
      </c>
      <c r="B11" s="282">
        <v>57541</v>
      </c>
      <c r="C11" s="960"/>
      <c r="D11" s="295">
        <v>44546</v>
      </c>
      <c r="E11" s="282">
        <v>590</v>
      </c>
      <c r="F11" s="244">
        <v>381723.71999999956</v>
      </c>
      <c r="G11" s="117">
        <v>0</v>
      </c>
      <c r="H11" s="117">
        <v>0</v>
      </c>
      <c r="I11" s="212">
        <v>533</v>
      </c>
      <c r="J11" s="244">
        <v>325611.56000000006</v>
      </c>
      <c r="K11" s="242">
        <v>533</v>
      </c>
      <c r="L11" s="242">
        <v>533</v>
      </c>
      <c r="M11" s="243">
        <v>325611.56000000006</v>
      </c>
      <c r="N11" s="213">
        <v>57</v>
      </c>
      <c r="O11" s="242">
        <v>29133.049999999996</v>
      </c>
      <c r="P11" s="58">
        <v>0</v>
      </c>
      <c r="Q11" s="955"/>
      <c r="R11" s="71">
        <v>465</v>
      </c>
      <c r="S11" s="71">
        <v>284563.64000000013</v>
      </c>
      <c r="T11" s="71">
        <v>433</v>
      </c>
      <c r="U11" s="71">
        <v>256313.79000000018</v>
      </c>
      <c r="V11" s="71">
        <v>0</v>
      </c>
      <c r="W11" s="71">
        <v>0</v>
      </c>
      <c r="X11" s="71">
        <v>0</v>
      </c>
      <c r="Y11" s="71">
        <v>0</v>
      </c>
      <c r="Z11" s="71">
        <v>433</v>
      </c>
      <c r="AA11" s="71">
        <v>256313.79000000012</v>
      </c>
    </row>
    <row r="12" spans="1:27" s="23" customFormat="1" x14ac:dyDescent="0.25">
      <c r="A12" s="344" t="s">
        <v>526</v>
      </c>
      <c r="B12" s="282">
        <v>66061</v>
      </c>
      <c r="C12" s="961"/>
      <c r="D12" s="295">
        <v>44910</v>
      </c>
      <c r="E12" s="282">
        <v>581</v>
      </c>
      <c r="F12" s="244">
        <v>378305.47</v>
      </c>
      <c r="G12" s="117">
        <v>0</v>
      </c>
      <c r="H12" s="117">
        <v>0</v>
      </c>
      <c r="I12" s="242">
        <v>519</v>
      </c>
      <c r="J12" s="244">
        <f>M12+317.69</f>
        <v>317194.25000000006</v>
      </c>
      <c r="K12" s="242">
        <v>519</v>
      </c>
      <c r="L12" s="242">
        <v>518</v>
      </c>
      <c r="M12" s="242">
        <v>316876.56000000006</v>
      </c>
      <c r="N12" s="213">
        <v>62</v>
      </c>
      <c r="O12" s="242">
        <v>38662.079999999994</v>
      </c>
      <c r="P12" s="58">
        <f>J12-M12</f>
        <v>317.69000000000233</v>
      </c>
      <c r="Q12" s="955"/>
      <c r="R12" s="71">
        <v>445</v>
      </c>
      <c r="S12" s="71">
        <v>276679.59999999998</v>
      </c>
      <c r="T12" s="71">
        <v>328</v>
      </c>
      <c r="U12" s="71">
        <v>190762.06000000003</v>
      </c>
      <c r="V12" s="71">
        <v>0</v>
      </c>
      <c r="W12" s="71">
        <v>0</v>
      </c>
      <c r="X12" s="71">
        <v>0</v>
      </c>
      <c r="Y12" s="71">
        <v>0</v>
      </c>
      <c r="Z12" s="71">
        <v>328</v>
      </c>
      <c r="AA12" s="71">
        <v>190762.06000000003</v>
      </c>
    </row>
    <row r="13" spans="1:27" s="23" customFormat="1" x14ac:dyDescent="0.25">
      <c r="A13" s="156" t="s">
        <v>569</v>
      </c>
      <c r="B13" s="282">
        <v>75022</v>
      </c>
      <c r="C13" s="337">
        <v>400000</v>
      </c>
      <c r="D13" s="295">
        <v>45275</v>
      </c>
      <c r="E13" s="282">
        <v>420</v>
      </c>
      <c r="F13" s="244">
        <v>286307.25000000012</v>
      </c>
      <c r="G13" s="117">
        <v>1</v>
      </c>
      <c r="H13" s="117">
        <v>750.6500000001397</v>
      </c>
      <c r="I13" s="117">
        <v>365</v>
      </c>
      <c r="J13" s="244">
        <f>M13+759.9</f>
        <v>228862.2099999999</v>
      </c>
      <c r="K13" s="117">
        <v>365</v>
      </c>
      <c r="L13" s="117">
        <v>363</v>
      </c>
      <c r="M13" s="117">
        <v>228102.30999999991</v>
      </c>
      <c r="N13" s="213">
        <v>54</v>
      </c>
      <c r="O13" s="242">
        <v>40920.070000000007</v>
      </c>
      <c r="P13" s="58">
        <f>J13-M13</f>
        <v>759.89999999999418</v>
      </c>
      <c r="Q13" s="953"/>
      <c r="R13" s="117">
        <v>275</v>
      </c>
      <c r="S13" s="117">
        <v>172402.04999999987</v>
      </c>
      <c r="T13" s="117">
        <v>176</v>
      </c>
      <c r="U13" s="117">
        <v>96091.229999999967</v>
      </c>
      <c r="V13" s="71">
        <v>0</v>
      </c>
      <c r="W13" s="71">
        <v>0</v>
      </c>
      <c r="X13" s="71">
        <v>0</v>
      </c>
      <c r="Y13" s="71">
        <v>0</v>
      </c>
      <c r="Z13" s="117">
        <v>176</v>
      </c>
      <c r="AA13" s="117">
        <v>96091.229999999967</v>
      </c>
    </row>
    <row r="14" spans="1:27" x14ac:dyDescent="0.25">
      <c r="A14" s="59" t="s">
        <v>171</v>
      </c>
      <c r="B14" s="59"/>
      <c r="C14" s="60">
        <f>SUM(C6:C13)</f>
        <v>1929851.24</v>
      </c>
      <c r="D14" s="60"/>
      <c r="E14" s="60">
        <f>SUM(E6:E13)</f>
        <v>3449</v>
      </c>
      <c r="F14" s="60">
        <f t="shared" ref="F14:Y14" si="0">SUM(F6:F13)</f>
        <v>2127316.4799999995</v>
      </c>
      <c r="G14" s="60">
        <f t="shared" si="0"/>
        <v>2</v>
      </c>
      <c r="H14" s="60">
        <f t="shared" si="0"/>
        <v>1177.9500000001281</v>
      </c>
      <c r="I14" s="60">
        <f t="shared" si="0"/>
        <v>3063</v>
      </c>
      <c r="J14" s="60">
        <f t="shared" si="0"/>
        <v>1791208.6400000001</v>
      </c>
      <c r="K14" s="60">
        <f t="shared" si="0"/>
        <v>3063</v>
      </c>
      <c r="L14" s="60">
        <f t="shared" si="0"/>
        <v>3058</v>
      </c>
      <c r="M14" s="60">
        <f t="shared" si="0"/>
        <v>1789836.42</v>
      </c>
      <c r="N14" s="60">
        <f t="shared" si="0"/>
        <v>368</v>
      </c>
      <c r="O14" s="60">
        <f t="shared" si="0"/>
        <v>222776.46</v>
      </c>
      <c r="P14" s="60">
        <f t="shared" si="0"/>
        <v>1372.2200000000012</v>
      </c>
      <c r="Q14" s="60">
        <f t="shared" si="0"/>
        <v>138642.59999999986</v>
      </c>
      <c r="R14" s="60">
        <f t="shared" si="0"/>
        <v>2542</v>
      </c>
      <c r="S14" s="60">
        <f t="shared" si="0"/>
        <v>1479428</v>
      </c>
      <c r="T14" s="60">
        <f t="shared" si="0"/>
        <v>2246</v>
      </c>
      <c r="U14" s="60">
        <f>SUM(U6:U13)-4083.64</f>
        <v>1251216.1000000001</v>
      </c>
      <c r="V14" s="60">
        <f t="shared" si="0"/>
        <v>0</v>
      </c>
      <c r="W14" s="60">
        <f t="shared" si="0"/>
        <v>0</v>
      </c>
      <c r="X14" s="60">
        <f t="shared" si="0"/>
        <v>0</v>
      </c>
      <c r="Y14" s="60">
        <f t="shared" si="0"/>
        <v>0</v>
      </c>
      <c r="Z14" s="60">
        <f t="shared" ref="Z14" si="1">SUM(Z6:Z13)</f>
        <v>2239</v>
      </c>
      <c r="AA14" s="60">
        <f>SUM(AA6:AA13)-4083.64</f>
        <v>1251216.1000000001</v>
      </c>
    </row>
    <row r="15" spans="1:27" ht="13.15" customHeight="1" x14ac:dyDescent="0.25">
      <c r="A15" s="954"/>
      <c r="B15" s="954"/>
      <c r="C15" s="954"/>
      <c r="D15" s="954"/>
      <c r="E15" s="954"/>
      <c r="F15" s="954"/>
      <c r="G15" s="954"/>
      <c r="H15" s="954"/>
      <c r="I15" s="954"/>
      <c r="J15" s="954"/>
      <c r="K15" s="954"/>
      <c r="L15" s="954"/>
      <c r="M15" s="954"/>
      <c r="N15" s="954"/>
      <c r="O15" s="954"/>
      <c r="P15" s="954"/>
      <c r="Q15" s="954"/>
      <c r="R15" s="954"/>
      <c r="S15" s="954"/>
      <c r="T15" s="954"/>
      <c r="U15" s="954"/>
    </row>
    <row r="16" spans="1:27" ht="13.9" customHeight="1" x14ac:dyDescent="0.25">
      <c r="A16" s="220" t="s">
        <v>172</v>
      </c>
      <c r="B16" s="220"/>
      <c r="C16" s="220"/>
      <c r="D16" s="220"/>
      <c r="E16" s="220"/>
      <c r="F16" s="220"/>
      <c r="G16" s="220"/>
      <c r="H16" s="220"/>
      <c r="I16" s="220"/>
      <c r="J16" s="220"/>
      <c r="K16" s="220"/>
      <c r="L16" s="220"/>
      <c r="M16" s="220"/>
      <c r="N16" s="220"/>
      <c r="O16" s="220"/>
      <c r="P16" s="220"/>
      <c r="Q16" s="220"/>
      <c r="R16" s="220"/>
      <c r="S16" s="220"/>
      <c r="T16" s="220"/>
      <c r="U16" s="220"/>
    </row>
    <row r="17" spans="1:28" s="12" customFormat="1" ht="28.9" customHeight="1" x14ac:dyDescent="0.2">
      <c r="A17" s="943" t="s">
        <v>156</v>
      </c>
      <c r="B17" s="943" t="s">
        <v>282</v>
      </c>
      <c r="C17" s="943" t="s">
        <v>157</v>
      </c>
      <c r="D17" s="943" t="s">
        <v>158</v>
      </c>
      <c r="E17" s="937" t="s">
        <v>337</v>
      </c>
      <c r="F17" s="938"/>
      <c r="G17" s="937" t="s">
        <v>277</v>
      </c>
      <c r="H17" s="938"/>
      <c r="I17" s="937" t="s">
        <v>159</v>
      </c>
      <c r="J17" s="938"/>
      <c r="K17" s="947" t="s">
        <v>749</v>
      </c>
      <c r="L17" s="948"/>
      <c r="M17" s="948"/>
      <c r="N17" s="948"/>
      <c r="O17" s="949"/>
      <c r="P17" s="943" t="s">
        <v>250</v>
      </c>
      <c r="Q17" s="943" t="s">
        <v>625</v>
      </c>
      <c r="R17" s="937" t="s">
        <v>750</v>
      </c>
      <c r="S17" s="938"/>
      <c r="T17" s="937" t="s">
        <v>751</v>
      </c>
      <c r="U17" s="938"/>
      <c r="V17" s="936" t="s">
        <v>751</v>
      </c>
      <c r="W17" s="936"/>
      <c r="X17" s="936"/>
      <c r="Y17" s="936"/>
      <c r="Z17" s="936"/>
      <c r="AA17" s="936"/>
    </row>
    <row r="18" spans="1:28" s="12" customFormat="1" ht="14.45" customHeight="1" x14ac:dyDescent="0.2">
      <c r="A18" s="944"/>
      <c r="B18" s="944"/>
      <c r="C18" s="944"/>
      <c r="D18" s="944"/>
      <c r="E18" s="939"/>
      <c r="F18" s="940"/>
      <c r="G18" s="939"/>
      <c r="H18" s="940"/>
      <c r="I18" s="939"/>
      <c r="J18" s="940"/>
      <c r="K18" s="947" t="s">
        <v>160</v>
      </c>
      <c r="L18" s="948"/>
      <c r="M18" s="949"/>
      <c r="N18" s="937" t="s">
        <v>626</v>
      </c>
      <c r="O18" s="938"/>
      <c r="P18" s="944"/>
      <c r="Q18" s="944"/>
      <c r="R18" s="939"/>
      <c r="S18" s="940"/>
      <c r="T18" s="939"/>
      <c r="U18" s="940"/>
      <c r="V18" s="936"/>
      <c r="W18" s="936"/>
      <c r="X18" s="936"/>
      <c r="Y18" s="936"/>
      <c r="Z18" s="936"/>
      <c r="AA18" s="936"/>
    </row>
    <row r="19" spans="1:28" s="12" customFormat="1" ht="20.25" customHeight="1" x14ac:dyDescent="0.2">
      <c r="A19" s="944"/>
      <c r="B19" s="944"/>
      <c r="C19" s="944"/>
      <c r="D19" s="944"/>
      <c r="E19" s="941"/>
      <c r="F19" s="942"/>
      <c r="G19" s="941"/>
      <c r="H19" s="942"/>
      <c r="I19" s="941"/>
      <c r="J19" s="942"/>
      <c r="K19" s="950" t="s">
        <v>161</v>
      </c>
      <c r="L19" s="947" t="s">
        <v>247</v>
      </c>
      <c r="M19" s="949"/>
      <c r="N19" s="941"/>
      <c r="O19" s="942"/>
      <c r="P19" s="946"/>
      <c r="Q19" s="946"/>
      <c r="R19" s="941"/>
      <c r="S19" s="942"/>
      <c r="T19" s="941"/>
      <c r="U19" s="942"/>
      <c r="V19" s="936" t="s">
        <v>584</v>
      </c>
      <c r="W19" s="936"/>
      <c r="X19" s="936" t="s">
        <v>585</v>
      </c>
      <c r="Y19" s="936"/>
      <c r="Z19" s="936" t="s">
        <v>586</v>
      </c>
      <c r="AA19" s="936"/>
    </row>
    <row r="20" spans="1:28" s="12" customFormat="1" ht="21" x14ac:dyDescent="0.2">
      <c r="A20" s="945"/>
      <c r="B20" s="945"/>
      <c r="C20" s="945"/>
      <c r="D20" s="945"/>
      <c r="E20" s="154" t="s">
        <v>161</v>
      </c>
      <c r="F20" s="125" t="s">
        <v>162</v>
      </c>
      <c r="G20" s="15" t="s">
        <v>161</v>
      </c>
      <c r="H20" s="16" t="s">
        <v>162</v>
      </c>
      <c r="I20" s="154" t="s">
        <v>161</v>
      </c>
      <c r="J20" s="125" t="s">
        <v>162</v>
      </c>
      <c r="K20" s="951"/>
      <c r="L20" s="154" t="s">
        <v>161</v>
      </c>
      <c r="M20" s="125" t="s">
        <v>162</v>
      </c>
      <c r="N20" s="154" t="s">
        <v>161</v>
      </c>
      <c r="O20" s="125" t="s">
        <v>162</v>
      </c>
      <c r="P20" s="16" t="s">
        <v>162</v>
      </c>
      <c r="Q20" s="16" t="s">
        <v>162</v>
      </c>
      <c r="R20" s="15" t="s">
        <v>161</v>
      </c>
      <c r="S20" s="16" t="s">
        <v>162</v>
      </c>
      <c r="T20" s="77" t="s">
        <v>161</v>
      </c>
      <c r="U20" s="78" t="s">
        <v>162</v>
      </c>
      <c r="V20" s="218" t="s">
        <v>161</v>
      </c>
      <c r="W20" s="209" t="s">
        <v>162</v>
      </c>
      <c r="X20" s="218" t="s">
        <v>161</v>
      </c>
      <c r="Y20" s="209" t="s">
        <v>162</v>
      </c>
      <c r="Z20" s="218" t="s">
        <v>161</v>
      </c>
      <c r="AA20" s="209" t="s">
        <v>162</v>
      </c>
    </row>
    <row r="21" spans="1:28" s="23" customFormat="1" ht="18" customHeight="1" x14ac:dyDescent="0.25">
      <c r="A21" s="962" t="s">
        <v>78</v>
      </c>
      <c r="B21" s="21">
        <v>8301</v>
      </c>
      <c r="C21" s="957">
        <f>1500000-180000</f>
        <v>1320000</v>
      </c>
      <c r="D21" s="31">
        <v>43100</v>
      </c>
      <c r="E21" s="18">
        <v>2</v>
      </c>
      <c r="F21" s="11">
        <v>406987.53</v>
      </c>
      <c r="G21" s="117">
        <v>1</v>
      </c>
      <c r="H21" s="117">
        <f>F21-J21</f>
        <v>346645.56000000006</v>
      </c>
      <c r="I21" s="34">
        <v>1</v>
      </c>
      <c r="J21" s="70">
        <v>60341.97</v>
      </c>
      <c r="K21" s="18">
        <v>1</v>
      </c>
      <c r="L21" s="3">
        <v>1</v>
      </c>
      <c r="M21" s="70">
        <v>60341.97</v>
      </c>
      <c r="N21" s="3">
        <v>0</v>
      </c>
      <c r="O21" s="3">
        <v>0</v>
      </c>
      <c r="P21" s="18">
        <v>0</v>
      </c>
      <c r="Q21" s="952">
        <f>C21-M21-M22-M23</f>
        <v>644839.74</v>
      </c>
      <c r="R21" s="71">
        <v>1</v>
      </c>
      <c r="S21" s="70">
        <v>60341.97</v>
      </c>
      <c r="T21" s="3">
        <v>1</v>
      </c>
      <c r="U21" s="70">
        <v>60341.97</v>
      </c>
      <c r="V21" s="71">
        <v>0</v>
      </c>
      <c r="W21" s="71">
        <v>0</v>
      </c>
      <c r="X21" s="71">
        <v>0</v>
      </c>
      <c r="Y21" s="71">
        <v>0</v>
      </c>
      <c r="Z21" s="3">
        <v>1</v>
      </c>
      <c r="AA21" s="70">
        <v>60341.97</v>
      </c>
    </row>
    <row r="22" spans="1:28" s="23" customFormat="1" ht="21.75" customHeight="1" x14ac:dyDescent="0.25">
      <c r="A22" s="963"/>
      <c r="B22" s="21">
        <v>11121</v>
      </c>
      <c r="C22" s="958"/>
      <c r="D22" s="31">
        <v>43434.999988425923</v>
      </c>
      <c r="E22" s="1">
        <v>9</v>
      </c>
      <c r="F22" s="28">
        <v>1183118.1399999999</v>
      </c>
      <c r="G22" s="131">
        <v>0</v>
      </c>
      <c r="H22" s="131">
        <v>0</v>
      </c>
      <c r="I22" s="3">
        <v>4</v>
      </c>
      <c r="J22" s="70">
        <v>530818.29</v>
      </c>
      <c r="K22" s="18">
        <v>4</v>
      </c>
      <c r="L22" s="3">
        <v>4</v>
      </c>
      <c r="M22" s="70">
        <v>530818.29</v>
      </c>
      <c r="N22" s="3">
        <v>4</v>
      </c>
      <c r="O22" s="70">
        <v>503004.70999999996</v>
      </c>
      <c r="P22" s="18">
        <v>0</v>
      </c>
      <c r="Q22" s="955"/>
      <c r="R22" s="71">
        <v>5</v>
      </c>
      <c r="S22" s="70">
        <v>587733.42999999993</v>
      </c>
      <c r="T22" s="3">
        <v>5</v>
      </c>
      <c r="U22" s="70">
        <v>530818.29</v>
      </c>
      <c r="V22" s="71">
        <v>0</v>
      </c>
      <c r="W22" s="71">
        <v>0</v>
      </c>
      <c r="X22" s="71">
        <v>0</v>
      </c>
      <c r="Y22" s="71">
        <v>0</v>
      </c>
      <c r="Z22" s="3">
        <v>4</v>
      </c>
      <c r="AA22" s="70">
        <v>530818.29</v>
      </c>
    </row>
    <row r="23" spans="1:28" s="23" customFormat="1" ht="21.75" customHeight="1" x14ac:dyDescent="0.25">
      <c r="A23" s="964"/>
      <c r="B23" s="29">
        <v>66922</v>
      </c>
      <c r="C23" s="283">
        <v>425000</v>
      </c>
      <c r="D23" s="296">
        <v>44910</v>
      </c>
      <c r="E23" s="282">
        <v>1</v>
      </c>
      <c r="F23" s="244">
        <v>84000</v>
      </c>
      <c r="G23" s="117">
        <v>0</v>
      </c>
      <c r="H23" s="117">
        <v>0</v>
      </c>
      <c r="I23" s="267">
        <v>1</v>
      </c>
      <c r="J23" s="244">
        <v>84000</v>
      </c>
      <c r="K23" s="18">
        <v>1</v>
      </c>
      <c r="L23" s="3">
        <v>1</v>
      </c>
      <c r="M23" s="242">
        <v>84000</v>
      </c>
      <c r="N23" s="3">
        <v>0</v>
      </c>
      <c r="O23" s="3">
        <v>0</v>
      </c>
      <c r="P23" s="58">
        <f>J23-M23</f>
        <v>0</v>
      </c>
      <c r="Q23" s="953"/>
      <c r="R23" s="71">
        <v>1</v>
      </c>
      <c r="S23" s="80">
        <v>53000.38</v>
      </c>
      <c r="T23" s="3">
        <v>1</v>
      </c>
      <c r="U23" s="71">
        <v>53000.38</v>
      </c>
      <c r="V23" s="71">
        <v>0</v>
      </c>
      <c r="W23" s="71">
        <v>0</v>
      </c>
      <c r="X23" s="71">
        <v>0</v>
      </c>
      <c r="Y23" s="71">
        <v>0</v>
      </c>
      <c r="Z23" s="3">
        <v>1</v>
      </c>
      <c r="AA23" s="71">
        <v>53000.38</v>
      </c>
    </row>
    <row r="24" spans="1:28" s="23" customFormat="1" x14ac:dyDescent="0.25">
      <c r="A24" s="1" t="s">
        <v>527</v>
      </c>
      <c r="B24" s="29">
        <v>19621</v>
      </c>
      <c r="C24" s="94">
        <v>1200000</v>
      </c>
      <c r="D24" s="106">
        <v>44286</v>
      </c>
      <c r="E24" s="363">
        <v>24</v>
      </c>
      <c r="F24" s="566">
        <v>955191.86</v>
      </c>
      <c r="G24" s="135">
        <v>0</v>
      </c>
      <c r="H24" s="135">
        <v>0</v>
      </c>
      <c r="I24" s="363">
        <v>24</v>
      </c>
      <c r="J24" s="566">
        <v>955191.86</v>
      </c>
      <c r="K24" s="342">
        <v>23</v>
      </c>
      <c r="L24" s="342">
        <v>23</v>
      </c>
      <c r="M24" s="366">
        <v>918513.13</v>
      </c>
      <c r="N24" s="3">
        <v>0</v>
      </c>
      <c r="O24" s="3">
        <v>0</v>
      </c>
      <c r="P24" s="18">
        <v>33668.03</v>
      </c>
      <c r="Q24" s="58">
        <f>C24-J24</f>
        <v>244808.14</v>
      </c>
      <c r="R24" s="71">
        <v>10</v>
      </c>
      <c r="S24" s="366">
        <v>359665.58999999997</v>
      </c>
      <c r="T24" s="363">
        <v>7</v>
      </c>
      <c r="U24" s="365">
        <v>267874.58999999997</v>
      </c>
      <c r="V24" s="71">
        <v>0</v>
      </c>
      <c r="W24" s="71">
        <v>0</v>
      </c>
      <c r="X24" s="71">
        <v>0</v>
      </c>
      <c r="Y24" s="71">
        <v>0</v>
      </c>
      <c r="Z24" s="363">
        <v>7</v>
      </c>
      <c r="AA24" s="365">
        <v>267874.58999999997</v>
      </c>
      <c r="AB24" s="271"/>
    </row>
    <row r="25" spans="1:28" x14ac:dyDescent="0.25">
      <c r="A25" s="19" t="s">
        <v>173</v>
      </c>
      <c r="B25" s="59"/>
      <c r="C25" s="20">
        <f>C24+C21</f>
        <v>2520000</v>
      </c>
      <c r="D25" s="20"/>
      <c r="E25" s="20">
        <f>SUM(E21:E24)</f>
        <v>36</v>
      </c>
      <c r="F25" s="20">
        <f t="shared" ref="F25:AA25" si="2">SUM(F21:F24)</f>
        <v>2629297.5299999998</v>
      </c>
      <c r="G25" s="20">
        <f t="shared" si="2"/>
        <v>1</v>
      </c>
      <c r="H25" s="20">
        <f t="shared" si="2"/>
        <v>346645.56000000006</v>
      </c>
      <c r="I25" s="20">
        <f>SUM(I21:I24)</f>
        <v>30</v>
      </c>
      <c r="J25" s="20">
        <f t="shared" si="2"/>
        <v>1630352.12</v>
      </c>
      <c r="K25" s="20">
        <f t="shared" si="2"/>
        <v>29</v>
      </c>
      <c r="L25" s="20">
        <f t="shared" si="2"/>
        <v>29</v>
      </c>
      <c r="M25" s="20">
        <f>SUM(M21:M24)</f>
        <v>1593673.3900000001</v>
      </c>
      <c r="N25" s="20">
        <f t="shared" si="2"/>
        <v>4</v>
      </c>
      <c r="O25" s="20">
        <f t="shared" si="2"/>
        <v>503004.70999999996</v>
      </c>
      <c r="P25" s="20">
        <f t="shared" si="2"/>
        <v>33668.03</v>
      </c>
      <c r="Q25" s="20">
        <f>SUM(Q21:Q24)</f>
        <v>889647.88</v>
      </c>
      <c r="R25" s="20">
        <f t="shared" si="2"/>
        <v>17</v>
      </c>
      <c r="S25" s="20">
        <f t="shared" si="2"/>
        <v>1060741.3699999999</v>
      </c>
      <c r="T25" s="20">
        <f>SUM(T21:T24)</f>
        <v>14</v>
      </c>
      <c r="U25" s="20">
        <f t="shared" si="2"/>
        <v>912035.23</v>
      </c>
      <c r="V25" s="20">
        <f t="shared" si="2"/>
        <v>0</v>
      </c>
      <c r="W25" s="20">
        <f t="shared" si="2"/>
        <v>0</v>
      </c>
      <c r="X25" s="20">
        <f t="shared" si="2"/>
        <v>0</v>
      </c>
      <c r="Y25" s="20">
        <f t="shared" si="2"/>
        <v>0</v>
      </c>
      <c r="Z25" s="20">
        <f t="shared" si="2"/>
        <v>13</v>
      </c>
      <c r="AA25" s="20">
        <f t="shared" si="2"/>
        <v>912035.23</v>
      </c>
    </row>
    <row r="26" spans="1:28" ht="23.45" customHeight="1" x14ac:dyDescent="0.25">
      <c r="A26" s="956" t="s">
        <v>390</v>
      </c>
      <c r="B26" s="956"/>
      <c r="C26" s="956"/>
      <c r="D26" s="956"/>
      <c r="E26" s="956"/>
      <c r="F26" s="956"/>
      <c r="G26" s="956"/>
      <c r="H26" s="956"/>
      <c r="I26" s="956"/>
      <c r="J26" s="956"/>
      <c r="K26" s="956"/>
      <c r="L26" s="956"/>
      <c r="M26" s="956"/>
      <c r="N26" s="956"/>
      <c r="O26" s="956"/>
      <c r="P26" s="956"/>
      <c r="Q26" s="956"/>
      <c r="R26" s="956"/>
      <c r="S26" s="956"/>
      <c r="T26" s="956"/>
      <c r="U26" s="956"/>
    </row>
    <row r="27" spans="1:28" s="23" customFormat="1" ht="20.45" customHeight="1" x14ac:dyDescent="0.25">
      <c r="A27" s="935" t="s">
        <v>744</v>
      </c>
      <c r="B27" s="935"/>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5"/>
      <c r="AA27" s="935"/>
    </row>
    <row r="28" spans="1:28" x14ac:dyDescent="0.25">
      <c r="A28" s="12"/>
      <c r="B28" s="12"/>
    </row>
    <row r="29" spans="1:28" x14ac:dyDescent="0.25">
      <c r="E29" s="50"/>
      <c r="I29" s="50"/>
    </row>
  </sheetData>
  <mergeCells count="48">
    <mergeCell ref="A26:U26"/>
    <mergeCell ref="C21:C22"/>
    <mergeCell ref="I17:J19"/>
    <mergeCell ref="A2:A5"/>
    <mergeCell ref="D17:D20"/>
    <mergeCell ref="E17:F19"/>
    <mergeCell ref="C6:C12"/>
    <mergeCell ref="A21:A23"/>
    <mergeCell ref="C17:C20"/>
    <mergeCell ref="B17:B20"/>
    <mergeCell ref="B2:B5"/>
    <mergeCell ref="D2:D5"/>
    <mergeCell ref="E2:F4"/>
    <mergeCell ref="C2:C5"/>
    <mergeCell ref="A17:A20"/>
    <mergeCell ref="Q21:Q23"/>
    <mergeCell ref="A15:U15"/>
    <mergeCell ref="K4:K5"/>
    <mergeCell ref="G2:H4"/>
    <mergeCell ref="G17:H19"/>
    <mergeCell ref="P17:P19"/>
    <mergeCell ref="T2:U4"/>
    <mergeCell ref="K17:O17"/>
    <mergeCell ref="Q2:Q4"/>
    <mergeCell ref="Q17:Q19"/>
    <mergeCell ref="P2:P4"/>
    <mergeCell ref="Q6:Q13"/>
    <mergeCell ref="I2:J4"/>
    <mergeCell ref="K3:M3"/>
    <mergeCell ref="N3:O4"/>
    <mergeCell ref="L4:M4"/>
    <mergeCell ref="K2:O2"/>
    <mergeCell ref="A27:AA27"/>
    <mergeCell ref="V19:W19"/>
    <mergeCell ref="X19:Y19"/>
    <mergeCell ref="Z19:AA19"/>
    <mergeCell ref="V2:AA3"/>
    <mergeCell ref="V4:W4"/>
    <mergeCell ref="X4:Y4"/>
    <mergeCell ref="Z4:AA4"/>
    <mergeCell ref="V17:AA18"/>
    <mergeCell ref="R17:S19"/>
    <mergeCell ref="T17:U19"/>
    <mergeCell ref="R2:S4"/>
    <mergeCell ref="K18:M18"/>
    <mergeCell ref="N18:O19"/>
    <mergeCell ref="K19:K20"/>
    <mergeCell ref="L19:M19"/>
  </mergeCells>
  <phoneticPr fontId="33" type="noConversion"/>
  <pageMargins left="0.7" right="0.7" top="0.75" bottom="0.75" header="0.3" footer="0.3"/>
  <pageSetup paperSize="9" scale="6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DCA56-31CA-43E1-AD8F-FBBA1719ACCA}">
  <dimension ref="A1:H10"/>
  <sheetViews>
    <sheetView workbookViewId="0">
      <selection activeCell="D12" sqref="D12"/>
    </sheetView>
  </sheetViews>
  <sheetFormatPr defaultRowHeight="15" x14ac:dyDescent="0.25"/>
  <cols>
    <col min="1" max="2" width="12.85546875" customWidth="1"/>
    <col min="3" max="8" width="17.28515625" customWidth="1"/>
  </cols>
  <sheetData>
    <row r="1" spans="1:8" x14ac:dyDescent="0.25">
      <c r="A1" s="228" t="s">
        <v>349</v>
      </c>
      <c r="B1" s="228"/>
      <c r="C1" s="228"/>
      <c r="D1" s="228"/>
      <c r="E1" s="228"/>
      <c r="F1" s="228"/>
      <c r="G1" s="228"/>
      <c r="H1" s="228"/>
    </row>
    <row r="2" spans="1:8" x14ac:dyDescent="0.25">
      <c r="A2" s="943" t="s">
        <v>282</v>
      </c>
      <c r="B2" s="943" t="s">
        <v>392</v>
      </c>
      <c r="C2" s="943" t="s">
        <v>393</v>
      </c>
      <c r="D2" s="943" t="s">
        <v>158</v>
      </c>
      <c r="E2" s="968" t="s">
        <v>394</v>
      </c>
      <c r="F2" s="969"/>
      <c r="G2" s="968" t="s">
        <v>416</v>
      </c>
      <c r="H2" s="969"/>
    </row>
    <row r="3" spans="1:8" x14ac:dyDescent="0.25">
      <c r="A3" s="944"/>
      <c r="B3" s="944"/>
      <c r="C3" s="944"/>
      <c r="D3" s="944"/>
      <c r="E3" s="939"/>
      <c r="F3" s="940"/>
      <c r="G3" s="939"/>
      <c r="H3" s="940"/>
    </row>
    <row r="4" spans="1:8" x14ac:dyDescent="0.25">
      <c r="A4" s="944"/>
      <c r="B4" s="944"/>
      <c r="C4" s="944"/>
      <c r="D4" s="944"/>
      <c r="E4" s="941"/>
      <c r="F4" s="942"/>
      <c r="G4" s="941"/>
      <c r="H4" s="942"/>
    </row>
    <row r="5" spans="1:8" x14ac:dyDescent="0.25">
      <c r="A5" s="945"/>
      <c r="B5" s="946"/>
      <c r="C5" s="945"/>
      <c r="D5" s="946"/>
      <c r="E5" s="218" t="s">
        <v>161</v>
      </c>
      <c r="F5" s="209" t="s">
        <v>162</v>
      </c>
      <c r="G5" s="218" t="s">
        <v>161</v>
      </c>
      <c r="H5" s="209" t="s">
        <v>162</v>
      </c>
    </row>
    <row r="6" spans="1:8" x14ac:dyDescent="0.25">
      <c r="A6" s="965">
        <v>19621</v>
      </c>
      <c r="B6" s="224" t="s">
        <v>281</v>
      </c>
      <c r="C6" s="151">
        <v>1200000</v>
      </c>
      <c r="D6" s="105">
        <v>43297</v>
      </c>
      <c r="E6" s="57">
        <v>34</v>
      </c>
      <c r="F6" s="135">
        <v>1703182.64</v>
      </c>
      <c r="G6" s="303">
        <v>34</v>
      </c>
      <c r="H6" s="303">
        <v>1200000</v>
      </c>
    </row>
    <row r="7" spans="1:8" x14ac:dyDescent="0.25">
      <c r="A7" s="882"/>
      <c r="B7" s="224" t="s">
        <v>236</v>
      </c>
      <c r="C7" s="58">
        <v>60000000</v>
      </c>
      <c r="D7" s="105">
        <v>43297</v>
      </c>
      <c r="E7" s="58">
        <v>57</v>
      </c>
      <c r="F7" s="130">
        <v>108076297</v>
      </c>
      <c r="G7" s="136">
        <v>39</v>
      </c>
      <c r="H7" s="58">
        <v>60000000</v>
      </c>
    </row>
    <row r="8" spans="1:8" x14ac:dyDescent="0.25">
      <c r="A8" s="882"/>
      <c r="B8" s="224" t="s">
        <v>275</v>
      </c>
      <c r="C8" s="225">
        <v>16450000</v>
      </c>
      <c r="D8" s="105">
        <v>43297</v>
      </c>
      <c r="E8" s="58">
        <v>57</v>
      </c>
      <c r="F8" s="130">
        <v>34720741</v>
      </c>
      <c r="G8" s="136">
        <v>39</v>
      </c>
      <c r="H8" s="176">
        <v>16450000</v>
      </c>
    </row>
    <row r="9" spans="1:8" x14ac:dyDescent="0.25">
      <c r="A9" s="883"/>
      <c r="B9" s="224" t="s">
        <v>395</v>
      </c>
      <c r="C9" s="225">
        <f>SUM(C6:C8)</f>
        <v>77650000</v>
      </c>
      <c r="D9" s="106"/>
      <c r="E9" s="58">
        <v>57</v>
      </c>
      <c r="F9" s="58">
        <f>SUM(F6:F8)</f>
        <v>144500220.63999999</v>
      </c>
      <c r="G9" s="58">
        <v>39</v>
      </c>
      <c r="H9" s="58">
        <f>SUM(H6:H8)</f>
        <v>77650000</v>
      </c>
    </row>
    <row r="10" spans="1:8" x14ac:dyDescent="0.25">
      <c r="A10" s="966" t="s">
        <v>537</v>
      </c>
      <c r="B10" s="967"/>
      <c r="C10" s="967"/>
      <c r="D10" s="967"/>
      <c r="E10" s="967"/>
      <c r="F10" s="967"/>
      <c r="G10" s="967"/>
      <c r="H10" s="967"/>
    </row>
  </sheetData>
  <mergeCells count="8">
    <mergeCell ref="A6:A9"/>
    <mergeCell ref="A10:H10"/>
    <mergeCell ref="A2:A5"/>
    <mergeCell ref="B2:B5"/>
    <mergeCell ref="C2:C5"/>
    <mergeCell ref="D2:D5"/>
    <mergeCell ref="E2:F4"/>
    <mergeCell ref="G2:H4"/>
  </mergeCell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41"/>
  <sheetViews>
    <sheetView view="pageBreakPreview" topLeftCell="A10" zoomScaleNormal="100" zoomScaleSheetLayoutView="100" workbookViewId="0">
      <selection activeCell="P10" sqref="P10"/>
    </sheetView>
  </sheetViews>
  <sheetFormatPr defaultColWidth="8.7109375" defaultRowHeight="15" x14ac:dyDescent="0.25"/>
  <cols>
    <col min="1" max="1" width="11.5703125" customWidth="1"/>
    <col min="2" max="2" width="5.7109375" style="13" customWidth="1"/>
    <col min="3" max="3" width="9.7109375" customWidth="1"/>
    <col min="4" max="4" width="9.5703125" customWidth="1"/>
    <col min="5" max="5" width="4.85546875" style="13" bestFit="1" customWidth="1"/>
    <col min="6" max="6" width="10.42578125" bestFit="1" customWidth="1"/>
    <col min="7" max="7" width="3.28515625" style="13" bestFit="1" customWidth="1"/>
    <col min="8" max="8" width="8.7109375" bestFit="1" customWidth="1"/>
    <col min="9" max="9" width="4.28515625" style="13" bestFit="1" customWidth="1"/>
    <col min="10" max="10" width="9.5703125" customWidth="1"/>
    <col min="11" max="11" width="4.28515625" bestFit="1" customWidth="1"/>
    <col min="12" max="12" width="4.28515625" style="13" bestFit="1" customWidth="1"/>
    <col min="13" max="13" width="10.42578125" bestFit="1" customWidth="1"/>
    <col min="14" max="14" width="3.7109375" style="13" customWidth="1"/>
    <col min="15" max="15" width="8.5703125" customWidth="1"/>
    <col min="16" max="16" width="11.28515625" style="13" customWidth="1"/>
    <col min="17" max="17" width="9.140625" style="13" customWidth="1"/>
    <col min="18" max="18" width="5.140625" customWidth="1"/>
    <col min="19" max="19" width="10.42578125" style="4" bestFit="1" customWidth="1"/>
    <col min="20" max="20" width="6.28515625" customWidth="1"/>
    <col min="21" max="21" width="9.85546875" style="4" customWidth="1"/>
    <col min="22" max="22" width="3.7109375" customWidth="1"/>
    <col min="23" max="23" width="11.140625" customWidth="1"/>
    <col min="24" max="24" width="3.140625" bestFit="1" customWidth="1"/>
    <col min="25" max="25" width="9.28515625" customWidth="1"/>
    <col min="26" max="26" width="4.5703125" customWidth="1"/>
    <col min="27" max="27" width="9.28515625" customWidth="1"/>
    <col min="28" max="28" width="12.85546875" bestFit="1" customWidth="1"/>
  </cols>
  <sheetData>
    <row r="1" spans="1:28" s="14" customFormat="1" ht="15" customHeight="1" x14ac:dyDescent="0.25">
      <c r="A1" s="971" t="s">
        <v>174</v>
      </c>
      <c r="B1" s="972"/>
      <c r="C1" s="971"/>
      <c r="D1" s="971"/>
      <c r="E1" s="971"/>
      <c r="F1" s="971"/>
      <c r="G1" s="972"/>
      <c r="H1" s="972"/>
      <c r="I1" s="971"/>
      <c r="J1" s="971"/>
      <c r="K1" s="971"/>
      <c r="L1" s="971"/>
      <c r="M1" s="971"/>
      <c r="N1" s="971"/>
      <c r="O1" s="971"/>
      <c r="P1" s="971"/>
      <c r="Q1" s="972"/>
      <c r="R1" s="971"/>
      <c r="S1" s="971"/>
      <c r="T1" s="971"/>
      <c r="U1" s="971"/>
    </row>
    <row r="2" spans="1:28" s="12" customFormat="1" ht="28.9" customHeight="1" x14ac:dyDescent="0.2">
      <c r="A2" s="943" t="s">
        <v>156</v>
      </c>
      <c r="B2" s="943" t="s">
        <v>282</v>
      </c>
      <c r="C2" s="943" t="s">
        <v>157</v>
      </c>
      <c r="D2" s="943" t="s">
        <v>158</v>
      </c>
      <c r="E2" s="968" t="s">
        <v>337</v>
      </c>
      <c r="F2" s="969"/>
      <c r="G2" s="968" t="s">
        <v>277</v>
      </c>
      <c r="H2" s="969"/>
      <c r="I2" s="968" t="s">
        <v>159</v>
      </c>
      <c r="J2" s="969"/>
      <c r="K2" s="975" t="s">
        <v>717</v>
      </c>
      <c r="L2" s="948"/>
      <c r="M2" s="948"/>
      <c r="N2" s="948"/>
      <c r="O2" s="949"/>
      <c r="P2" s="943" t="s">
        <v>250</v>
      </c>
      <c r="Q2" s="943" t="s">
        <v>625</v>
      </c>
      <c r="R2" s="968" t="s">
        <v>708</v>
      </c>
      <c r="S2" s="969"/>
      <c r="T2" s="968" t="s">
        <v>709</v>
      </c>
      <c r="U2" s="969"/>
      <c r="V2" s="968" t="s">
        <v>709</v>
      </c>
      <c r="W2" s="973"/>
      <c r="X2" s="973"/>
      <c r="Y2" s="973"/>
      <c r="Z2" s="973"/>
      <c r="AA2" s="969"/>
    </row>
    <row r="3" spans="1:28" s="12" customFormat="1" ht="14.45" customHeight="1" x14ac:dyDescent="0.2">
      <c r="A3" s="944"/>
      <c r="B3" s="944"/>
      <c r="C3" s="944"/>
      <c r="D3" s="944"/>
      <c r="E3" s="939"/>
      <c r="F3" s="940"/>
      <c r="G3" s="939"/>
      <c r="H3" s="940"/>
      <c r="I3" s="939"/>
      <c r="J3" s="940"/>
      <c r="K3" s="975" t="s">
        <v>160</v>
      </c>
      <c r="L3" s="948"/>
      <c r="M3" s="949"/>
      <c r="N3" s="968" t="s">
        <v>626</v>
      </c>
      <c r="O3" s="969"/>
      <c r="P3" s="944"/>
      <c r="Q3" s="944"/>
      <c r="R3" s="939"/>
      <c r="S3" s="940"/>
      <c r="T3" s="939"/>
      <c r="U3" s="940"/>
      <c r="V3" s="941"/>
      <c r="W3" s="974"/>
      <c r="X3" s="974"/>
      <c r="Y3" s="974"/>
      <c r="Z3" s="974"/>
      <c r="AA3" s="942"/>
    </row>
    <row r="4" spans="1:28" s="12" customFormat="1" ht="20.25" customHeight="1" x14ac:dyDescent="0.2">
      <c r="A4" s="944"/>
      <c r="B4" s="944"/>
      <c r="C4" s="944"/>
      <c r="D4" s="944"/>
      <c r="E4" s="941"/>
      <c r="F4" s="942"/>
      <c r="G4" s="941"/>
      <c r="H4" s="942"/>
      <c r="I4" s="941"/>
      <c r="J4" s="942"/>
      <c r="K4" s="950" t="s">
        <v>161</v>
      </c>
      <c r="L4" s="975" t="s">
        <v>247</v>
      </c>
      <c r="M4" s="949"/>
      <c r="N4" s="941"/>
      <c r="O4" s="942"/>
      <c r="P4" s="946"/>
      <c r="Q4" s="946"/>
      <c r="R4" s="941"/>
      <c r="S4" s="942"/>
      <c r="T4" s="941"/>
      <c r="U4" s="942"/>
      <c r="V4" s="975" t="s">
        <v>584</v>
      </c>
      <c r="W4" s="949"/>
      <c r="X4" s="975" t="s">
        <v>585</v>
      </c>
      <c r="Y4" s="949"/>
      <c r="Z4" s="975" t="s">
        <v>586</v>
      </c>
      <c r="AA4" s="949"/>
    </row>
    <row r="5" spans="1:28" s="12" customFormat="1" ht="21" x14ac:dyDescent="0.2">
      <c r="A5" s="946"/>
      <c r="B5" s="946"/>
      <c r="C5" s="946"/>
      <c r="D5" s="946"/>
      <c r="E5" s="154" t="s">
        <v>161</v>
      </c>
      <c r="F5" s="125" t="s">
        <v>162</v>
      </c>
      <c r="G5" s="15" t="s">
        <v>161</v>
      </c>
      <c r="H5" s="16" t="s">
        <v>162</v>
      </c>
      <c r="I5" s="154" t="s">
        <v>161</v>
      </c>
      <c r="J5" s="125" t="s">
        <v>162</v>
      </c>
      <c r="K5" s="977"/>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8" s="170" customFormat="1" ht="15.6" customHeight="1" x14ac:dyDescent="0.2">
      <c r="A6" s="187" t="s">
        <v>175</v>
      </c>
      <c r="B6" s="141">
        <v>1269</v>
      </c>
      <c r="C6" s="159">
        <v>79000000</v>
      </c>
      <c r="D6" s="106">
        <v>42751</v>
      </c>
      <c r="E6" s="58">
        <v>1270</v>
      </c>
      <c r="F6" s="169">
        <v>127622300.15000001</v>
      </c>
      <c r="G6" s="219">
        <v>7</v>
      </c>
      <c r="H6" s="169">
        <v>198710.52</v>
      </c>
      <c r="I6" s="58">
        <v>924</v>
      </c>
      <c r="J6" s="169">
        <v>87990248.010000005</v>
      </c>
      <c r="K6" s="58">
        <f>1004-62-18</f>
        <v>924</v>
      </c>
      <c r="L6" s="58">
        <f>1004-62-18</f>
        <v>924</v>
      </c>
      <c r="M6" s="368">
        <f>95501905.58-5377336.18-2134321</f>
        <v>87990248.400000006</v>
      </c>
      <c r="N6" s="58">
        <f>237+62+18</f>
        <v>317</v>
      </c>
      <c r="O6" s="159">
        <f>23403780.3+5377336.18+2134321</f>
        <v>30915437.48</v>
      </c>
      <c r="P6" s="58">
        <f t="shared" ref="P6:P9" si="0">J6-M6</f>
        <v>-0.39000000059604645</v>
      </c>
      <c r="Q6" s="342">
        <f>C6-J6</f>
        <v>-8990248.0100000054</v>
      </c>
      <c r="R6" s="58">
        <v>1326</v>
      </c>
      <c r="S6" s="215">
        <v>78681024.269999981</v>
      </c>
      <c r="T6" s="327">
        <v>1274</v>
      </c>
      <c r="U6" s="327">
        <v>74674760.769999877</v>
      </c>
      <c r="V6" s="159">
        <v>40</v>
      </c>
      <c r="W6" s="159">
        <v>2280623.7399999993</v>
      </c>
      <c r="X6" s="159">
        <v>16</v>
      </c>
      <c r="Y6" s="159">
        <v>2814316.26</v>
      </c>
      <c r="Z6" s="159">
        <v>822</v>
      </c>
      <c r="AA6" s="159">
        <v>69579820.769999996</v>
      </c>
      <c r="AB6" s="12"/>
    </row>
    <row r="7" spans="1:28" s="170" customFormat="1" ht="22.5" x14ac:dyDescent="0.25">
      <c r="A7" s="187" t="s">
        <v>81</v>
      </c>
      <c r="B7" s="141" t="s">
        <v>639</v>
      </c>
      <c r="C7" s="159">
        <v>5000000</v>
      </c>
      <c r="D7" s="340">
        <v>43042</v>
      </c>
      <c r="E7" s="58">
        <v>65</v>
      </c>
      <c r="F7" s="169">
        <v>6017263.5999999996</v>
      </c>
      <c r="G7" s="136">
        <v>0</v>
      </c>
      <c r="H7" s="58">
        <v>0</v>
      </c>
      <c r="I7" s="310">
        <f>56-12</f>
        <v>44</v>
      </c>
      <c r="J7" s="197">
        <v>3689087.76</v>
      </c>
      <c r="K7" s="58">
        <v>44</v>
      </c>
      <c r="L7" s="310">
        <f>56-12</f>
        <v>44</v>
      </c>
      <c r="M7" s="197">
        <v>3689087.76</v>
      </c>
      <c r="N7" s="58">
        <f>8+12</f>
        <v>20</v>
      </c>
      <c r="O7" s="159">
        <f>552680.39+1020760.28</f>
        <v>1573440.67</v>
      </c>
      <c r="P7" s="58">
        <f t="shared" si="0"/>
        <v>0</v>
      </c>
      <c r="Q7" s="58">
        <f>C7-M7</f>
        <v>1310912.2400000002</v>
      </c>
      <c r="R7" s="58">
        <v>63</v>
      </c>
      <c r="S7" s="215">
        <v>3651536</v>
      </c>
      <c r="T7" s="327">
        <v>63</v>
      </c>
      <c r="U7" s="327">
        <v>3636984.61</v>
      </c>
      <c r="V7" s="159">
        <v>2</v>
      </c>
      <c r="W7" s="159">
        <v>100705.85999999999</v>
      </c>
      <c r="X7" s="58">
        <v>0</v>
      </c>
      <c r="Y7" s="58">
        <v>0</v>
      </c>
      <c r="Z7" s="159">
        <v>44</v>
      </c>
      <c r="AA7" s="159">
        <v>3536278.75</v>
      </c>
    </row>
    <row r="8" spans="1:28" s="170" customFormat="1" ht="22.5" x14ac:dyDescent="0.25">
      <c r="A8" s="137" t="s">
        <v>496</v>
      </c>
      <c r="B8" s="141">
        <v>76824</v>
      </c>
      <c r="C8" s="98">
        <v>12000000</v>
      </c>
      <c r="D8" s="105">
        <v>45322</v>
      </c>
      <c r="E8" s="58">
        <v>1325</v>
      </c>
      <c r="F8" s="169">
        <v>148448724.44</v>
      </c>
      <c r="G8" s="58">
        <v>0</v>
      </c>
      <c r="H8" s="58">
        <v>0</v>
      </c>
      <c r="I8" s="58">
        <v>67</v>
      </c>
      <c r="J8" s="159">
        <v>8848395.6500000004</v>
      </c>
      <c r="K8" s="342">
        <v>61</v>
      </c>
      <c r="L8" s="367">
        <v>58</v>
      </c>
      <c r="M8" s="352">
        <v>7551181.1099999994</v>
      </c>
      <c r="N8" s="342">
        <v>28</v>
      </c>
      <c r="O8" s="342">
        <v>3169722.2600000007</v>
      </c>
      <c r="P8" s="342">
        <f>J8-M8</f>
        <v>1297214.540000001</v>
      </c>
      <c r="Q8" s="342">
        <v>0</v>
      </c>
      <c r="R8" s="342">
        <v>40</v>
      </c>
      <c r="S8" s="215">
        <v>3062812.94</v>
      </c>
      <c r="T8" s="308">
        <v>23</v>
      </c>
      <c r="U8" s="308">
        <v>1504676.08</v>
      </c>
      <c r="V8" s="159">
        <v>15</v>
      </c>
      <c r="W8" s="159">
        <v>1070332.71</v>
      </c>
      <c r="X8" s="58">
        <v>1</v>
      </c>
      <c r="Y8" s="58">
        <v>72134.3</v>
      </c>
      <c r="Z8" s="159">
        <v>4</v>
      </c>
      <c r="AA8" s="159">
        <v>362209.06999999995</v>
      </c>
    </row>
    <row r="9" spans="1:28" s="170" customFormat="1" ht="22.5" x14ac:dyDescent="0.25">
      <c r="A9" s="57" t="s">
        <v>494</v>
      </c>
      <c r="B9" s="127">
        <v>77002</v>
      </c>
      <c r="C9" s="99">
        <v>6227346.3799999999</v>
      </c>
      <c r="D9" s="340">
        <v>45363</v>
      </c>
      <c r="E9" s="58">
        <v>155</v>
      </c>
      <c r="F9" s="169">
        <f>10514681.91+H9</f>
        <v>10644885.92</v>
      </c>
      <c r="G9" s="58">
        <v>1</v>
      </c>
      <c r="H9" s="58">
        <v>130204.00999999978</v>
      </c>
      <c r="I9" s="58">
        <v>65</v>
      </c>
      <c r="J9" s="99">
        <v>4934947.59</v>
      </c>
      <c r="K9" s="342">
        <f>66-1</f>
        <v>65</v>
      </c>
      <c r="L9" s="342">
        <f>66-1</f>
        <v>65</v>
      </c>
      <c r="M9" s="352">
        <f>5052986.73-118039</f>
        <v>4934947.7300000004</v>
      </c>
      <c r="N9" s="342">
        <f>7+1</f>
        <v>8</v>
      </c>
      <c r="O9" s="342">
        <f>744039.25+118039</f>
        <v>862078.25</v>
      </c>
      <c r="P9" s="342">
        <f t="shared" si="0"/>
        <v>-0.14000000059604645</v>
      </c>
      <c r="Q9" s="342">
        <f>C9-J9</f>
        <v>1292398.79</v>
      </c>
      <c r="R9" s="342">
        <v>68</v>
      </c>
      <c r="S9" s="215">
        <v>3947353.62</v>
      </c>
      <c r="T9" s="308">
        <v>52</v>
      </c>
      <c r="U9" s="58">
        <v>3161193.58</v>
      </c>
      <c r="V9" s="159">
        <v>11</v>
      </c>
      <c r="W9" s="159">
        <v>396914.77</v>
      </c>
      <c r="X9" s="58">
        <v>1</v>
      </c>
      <c r="Y9" s="58">
        <v>140520.75</v>
      </c>
      <c r="Z9" s="159">
        <v>34</v>
      </c>
      <c r="AA9" s="159">
        <v>2623758.0599999996</v>
      </c>
      <c r="AB9" s="412"/>
    </row>
    <row r="10" spans="1:28" s="170" customFormat="1" ht="21.6" customHeight="1" x14ac:dyDescent="0.25">
      <c r="A10" s="138" t="s">
        <v>89</v>
      </c>
      <c r="B10" s="521">
        <v>2302</v>
      </c>
      <c r="C10" s="159">
        <v>46798515</v>
      </c>
      <c r="D10" s="516">
        <v>42839</v>
      </c>
      <c r="E10" s="82">
        <v>1191</v>
      </c>
      <c r="F10" s="517">
        <v>112129468.3</v>
      </c>
      <c r="G10" s="515">
        <v>107</v>
      </c>
      <c r="H10" s="515">
        <v>6823926.769999966</v>
      </c>
      <c r="I10" s="738">
        <f>K10+11</f>
        <v>608</v>
      </c>
      <c r="J10" s="82">
        <f>M10+P10</f>
        <v>52277163.439999998</v>
      </c>
      <c r="K10" s="579">
        <v>597</v>
      </c>
      <c r="L10" s="579">
        <v>597</v>
      </c>
      <c r="M10" s="573">
        <v>51225128.659999996</v>
      </c>
      <c r="N10" s="572">
        <v>106</v>
      </c>
      <c r="O10" s="574">
        <v>10853735.489999993</v>
      </c>
      <c r="P10" s="58">
        <v>1052034.78</v>
      </c>
      <c r="Q10" s="58">
        <v>0</v>
      </c>
      <c r="R10" s="58">
        <v>1018</v>
      </c>
      <c r="S10" s="215">
        <v>47461860.980000027</v>
      </c>
      <c r="T10" s="308">
        <v>977</v>
      </c>
      <c r="U10" s="159">
        <f>44743052.53-490888.3</f>
        <v>44252164.230000004</v>
      </c>
      <c r="V10" s="159">
        <v>50</v>
      </c>
      <c r="W10" s="159">
        <f>2312298.42-490888.3</f>
        <v>1821410.1199999999</v>
      </c>
      <c r="X10" s="159">
        <v>16</v>
      </c>
      <c r="Y10" s="159">
        <v>2189597.4900000002</v>
      </c>
      <c r="Z10" s="159">
        <v>471</v>
      </c>
      <c r="AA10" s="159">
        <v>40241156.620000005</v>
      </c>
    </row>
    <row r="11" spans="1:28" s="170" customFormat="1" ht="14.45" customHeight="1" x14ac:dyDescent="0.25">
      <c r="A11" s="187" t="s">
        <v>527</v>
      </c>
      <c r="B11" s="141">
        <v>19621</v>
      </c>
      <c r="C11" s="159">
        <v>60000000</v>
      </c>
      <c r="D11" s="106">
        <v>44286</v>
      </c>
      <c r="E11" s="342">
        <v>856</v>
      </c>
      <c r="F11" s="567">
        <v>74017711.060000002</v>
      </c>
      <c r="G11" s="136">
        <v>1</v>
      </c>
      <c r="H11" s="136">
        <v>412945.6099999994</v>
      </c>
      <c r="I11" s="342">
        <v>756</v>
      </c>
      <c r="J11" s="342">
        <v>67417850.36999999</v>
      </c>
      <c r="K11" s="342">
        <v>746</v>
      </c>
      <c r="L11" s="367">
        <v>744</v>
      </c>
      <c r="M11" s="368">
        <v>66447007.339999989</v>
      </c>
      <c r="N11" s="342">
        <v>98</v>
      </c>
      <c r="O11" s="352">
        <v>4638561.2400000012</v>
      </c>
      <c r="P11" s="58">
        <f>J11-M11</f>
        <v>970843.03000000119</v>
      </c>
      <c r="Q11" s="58">
        <f>C11-J11</f>
        <v>-7417850.3699999899</v>
      </c>
      <c r="R11" s="342">
        <v>771</v>
      </c>
      <c r="S11" s="215">
        <v>47727701.160000019</v>
      </c>
      <c r="T11" s="529">
        <v>655</v>
      </c>
      <c r="U11" s="352">
        <v>41750274.309999965</v>
      </c>
      <c r="V11" s="352">
        <v>57</v>
      </c>
      <c r="W11" s="352">
        <v>2811069.5300000003</v>
      </c>
      <c r="X11" s="352">
        <v>41</v>
      </c>
      <c r="Y11" s="352">
        <v>3814709.77</v>
      </c>
      <c r="Z11" s="352">
        <v>401</v>
      </c>
      <c r="AA11" s="352">
        <v>35124495.009999983</v>
      </c>
    </row>
    <row r="12" spans="1:28" s="5" customFormat="1" ht="11.25" x14ac:dyDescent="0.2">
      <c r="A12" s="59" t="s">
        <v>176</v>
      </c>
      <c r="B12" s="144"/>
      <c r="C12" s="60">
        <f>SUM(C6:C11)</f>
        <v>209025861.38</v>
      </c>
      <c r="D12" s="60"/>
      <c r="E12" s="60">
        <f t="shared" ref="E12:T12" si="1">SUM(E6:E11)</f>
        <v>4862</v>
      </c>
      <c r="F12" s="60">
        <f t="shared" si="1"/>
        <v>478880353.47000003</v>
      </c>
      <c r="G12" s="60">
        <f t="shared" si="1"/>
        <v>116</v>
      </c>
      <c r="H12" s="60">
        <f t="shared" si="1"/>
        <v>7565786.9099999648</v>
      </c>
      <c r="I12" s="60">
        <f t="shared" si="1"/>
        <v>2464</v>
      </c>
      <c r="J12" s="60">
        <f t="shared" si="1"/>
        <v>225157692.81999999</v>
      </c>
      <c r="K12" s="60">
        <f t="shared" si="1"/>
        <v>2437</v>
      </c>
      <c r="L12" s="60">
        <f t="shared" si="1"/>
        <v>2432</v>
      </c>
      <c r="M12" s="60">
        <f t="shared" si="1"/>
        <v>221837601</v>
      </c>
      <c r="N12" s="60">
        <f t="shared" si="1"/>
        <v>577</v>
      </c>
      <c r="O12" s="60">
        <f t="shared" si="1"/>
        <v>52012975.389999993</v>
      </c>
      <c r="P12" s="60">
        <f t="shared" si="1"/>
        <v>3320091.8200000012</v>
      </c>
      <c r="Q12" s="60">
        <f t="shared" si="1"/>
        <v>-13804787.349999994</v>
      </c>
      <c r="R12" s="60">
        <f t="shared" si="1"/>
        <v>3286</v>
      </c>
      <c r="S12" s="60">
        <f t="shared" si="1"/>
        <v>184532288.97000003</v>
      </c>
      <c r="T12" s="60">
        <f t="shared" si="1"/>
        <v>3044</v>
      </c>
      <c r="U12" s="60">
        <f>SUM(U6:U11)-1038277.38</f>
        <v>167941776.19999984</v>
      </c>
      <c r="V12" s="20">
        <f>SUM(V6:V11)</f>
        <v>175</v>
      </c>
      <c r="W12" s="20">
        <f>SUM(W6:W11)-1038277.38</f>
        <v>7442779.3500000006</v>
      </c>
      <c r="X12" s="20">
        <f>SUM(X6:X11)</f>
        <v>75</v>
      </c>
      <c r="Y12" s="20">
        <f>SUM(Y6:Y11)</f>
        <v>9031278.5700000003</v>
      </c>
      <c r="Z12" s="20">
        <f>SUM(Z6:Z11)</f>
        <v>1776</v>
      </c>
      <c r="AA12" s="20">
        <f>SUM(AA6:AA11)</f>
        <v>151467718.27999997</v>
      </c>
      <c r="AB12" s="389"/>
    </row>
    <row r="13" spans="1:28" s="126" customFormat="1" ht="12.6" customHeight="1" x14ac:dyDescent="0.2">
      <c r="A13" s="976" t="s">
        <v>719</v>
      </c>
      <c r="B13" s="976"/>
      <c r="C13" s="976"/>
      <c r="D13" s="976"/>
      <c r="E13" s="976"/>
      <c r="F13" s="976"/>
      <c r="G13" s="976"/>
      <c r="H13" s="976"/>
      <c r="I13" s="976"/>
      <c r="J13" s="976"/>
      <c r="K13" s="976"/>
      <c r="L13" s="976"/>
      <c r="M13" s="976"/>
      <c r="N13" s="976"/>
      <c r="O13" s="976"/>
      <c r="P13" s="976"/>
      <c r="Q13" s="976"/>
      <c r="R13" s="976"/>
      <c r="S13" s="976"/>
      <c r="T13" s="976"/>
      <c r="U13" s="976"/>
      <c r="V13" s="976"/>
      <c r="W13" s="976"/>
      <c r="X13" s="976"/>
      <c r="Y13" s="976"/>
      <c r="Z13" s="976"/>
      <c r="AA13" s="976"/>
    </row>
    <row r="14" spans="1:28" s="126" customFormat="1" ht="3.6" customHeight="1" x14ac:dyDescent="0.2">
      <c r="A14" s="978"/>
      <c r="B14" s="978"/>
      <c r="C14" s="978"/>
      <c r="D14" s="978"/>
      <c r="E14" s="978"/>
      <c r="F14" s="978"/>
      <c r="G14" s="978"/>
      <c r="H14" s="978"/>
      <c r="I14" s="978"/>
      <c r="J14" s="978"/>
      <c r="K14" s="978"/>
      <c r="L14" s="978"/>
      <c r="M14" s="978"/>
      <c r="N14" s="978"/>
      <c r="O14" s="978"/>
      <c r="P14" s="978"/>
      <c r="Q14" s="978"/>
      <c r="R14" s="978"/>
      <c r="S14" s="978"/>
      <c r="T14" s="978"/>
      <c r="U14" s="978"/>
      <c r="V14" s="314"/>
      <c r="W14" s="314"/>
      <c r="Y14" s="339"/>
    </row>
    <row r="15" spans="1:28" x14ac:dyDescent="0.25">
      <c r="A15" s="971" t="s">
        <v>177</v>
      </c>
      <c r="B15" s="972"/>
      <c r="C15" s="971"/>
      <c r="D15" s="971"/>
      <c r="E15" s="971"/>
      <c r="F15" s="971"/>
      <c r="G15" s="972"/>
      <c r="H15" s="972"/>
      <c r="I15" s="971"/>
      <c r="J15" s="971"/>
      <c r="K15" s="971"/>
      <c r="L15" s="971"/>
      <c r="M15" s="971"/>
      <c r="N15" s="971"/>
      <c r="O15" s="971"/>
      <c r="P15" s="971"/>
      <c r="Q15" s="972"/>
      <c r="R15" s="971"/>
      <c r="S15" s="971"/>
      <c r="T15" s="971"/>
      <c r="U15" s="971"/>
      <c r="V15" s="305"/>
      <c r="W15" s="305"/>
    </row>
    <row r="16" spans="1:28" s="12" customFormat="1" ht="28.9" customHeight="1" x14ac:dyDescent="0.2">
      <c r="A16" s="943" t="s">
        <v>156</v>
      </c>
      <c r="B16" s="943" t="s">
        <v>282</v>
      </c>
      <c r="C16" s="943" t="s">
        <v>157</v>
      </c>
      <c r="D16" s="943" t="s">
        <v>158</v>
      </c>
      <c r="E16" s="937" t="s">
        <v>337</v>
      </c>
      <c r="F16" s="938"/>
      <c r="G16" s="937" t="s">
        <v>277</v>
      </c>
      <c r="H16" s="938"/>
      <c r="I16" s="968" t="s">
        <v>721</v>
      </c>
      <c r="J16" s="969"/>
      <c r="K16" s="947" t="s">
        <v>749</v>
      </c>
      <c r="L16" s="948"/>
      <c r="M16" s="948"/>
      <c r="N16" s="948"/>
      <c r="O16" s="949"/>
      <c r="P16" s="943" t="s">
        <v>250</v>
      </c>
      <c r="Q16" s="943" t="s">
        <v>625</v>
      </c>
      <c r="R16" s="937" t="s">
        <v>750</v>
      </c>
      <c r="S16" s="938"/>
      <c r="T16" s="937" t="s">
        <v>751</v>
      </c>
      <c r="U16" s="938"/>
      <c r="V16" s="936" t="s">
        <v>751</v>
      </c>
      <c r="W16" s="936"/>
      <c r="X16" s="936"/>
      <c r="Y16" s="936"/>
      <c r="Z16" s="936"/>
      <c r="AA16" s="936"/>
    </row>
    <row r="17" spans="1:28" s="12" customFormat="1" ht="14.45" customHeight="1" x14ac:dyDescent="0.2">
      <c r="A17" s="944"/>
      <c r="B17" s="944"/>
      <c r="C17" s="944"/>
      <c r="D17" s="944"/>
      <c r="E17" s="939"/>
      <c r="F17" s="940"/>
      <c r="G17" s="939"/>
      <c r="H17" s="940"/>
      <c r="I17" s="939"/>
      <c r="J17" s="940"/>
      <c r="K17" s="947" t="s">
        <v>160</v>
      </c>
      <c r="L17" s="948"/>
      <c r="M17" s="949"/>
      <c r="N17" s="937" t="s">
        <v>626</v>
      </c>
      <c r="O17" s="938"/>
      <c r="P17" s="944"/>
      <c r="Q17" s="944"/>
      <c r="R17" s="939"/>
      <c r="S17" s="940"/>
      <c r="T17" s="939"/>
      <c r="U17" s="940"/>
      <c r="V17" s="936"/>
      <c r="W17" s="936"/>
      <c r="X17" s="936"/>
      <c r="Y17" s="936"/>
      <c r="Z17" s="936"/>
      <c r="AA17" s="936"/>
    </row>
    <row r="18" spans="1:28" s="12" customFormat="1" ht="20.25" customHeight="1" x14ac:dyDescent="0.2">
      <c r="A18" s="944"/>
      <c r="B18" s="944"/>
      <c r="C18" s="944"/>
      <c r="D18" s="944"/>
      <c r="E18" s="941"/>
      <c r="F18" s="942"/>
      <c r="G18" s="941"/>
      <c r="H18" s="942"/>
      <c r="I18" s="941"/>
      <c r="J18" s="942"/>
      <c r="K18" s="950" t="s">
        <v>161</v>
      </c>
      <c r="L18" s="947" t="s">
        <v>247</v>
      </c>
      <c r="M18" s="949"/>
      <c r="N18" s="941"/>
      <c r="O18" s="942"/>
      <c r="P18" s="946"/>
      <c r="Q18" s="946"/>
      <c r="R18" s="941"/>
      <c r="S18" s="942"/>
      <c r="T18" s="941"/>
      <c r="U18" s="942"/>
      <c r="V18" s="936" t="s">
        <v>584</v>
      </c>
      <c r="W18" s="936"/>
      <c r="X18" s="936" t="s">
        <v>585</v>
      </c>
      <c r="Y18" s="936"/>
      <c r="Z18" s="936" t="s">
        <v>586</v>
      </c>
      <c r="AA18" s="936"/>
    </row>
    <row r="19" spans="1:28" s="12" customFormat="1" ht="21" x14ac:dyDescent="0.2">
      <c r="A19" s="945"/>
      <c r="B19" s="945"/>
      <c r="C19" s="945"/>
      <c r="D19" s="945"/>
      <c r="E19" s="154" t="s">
        <v>161</v>
      </c>
      <c r="F19" s="125" t="s">
        <v>162</v>
      </c>
      <c r="G19" s="15" t="s">
        <v>161</v>
      </c>
      <c r="H19" s="16" t="s">
        <v>162</v>
      </c>
      <c r="I19" s="154" t="s">
        <v>161</v>
      </c>
      <c r="J19" s="125" t="s">
        <v>162</v>
      </c>
      <c r="K19" s="951"/>
      <c r="L19" s="154" t="s">
        <v>161</v>
      </c>
      <c r="M19" s="125" t="s">
        <v>162</v>
      </c>
      <c r="N19" s="154" t="s">
        <v>161</v>
      </c>
      <c r="O19" s="125" t="s">
        <v>162</v>
      </c>
      <c r="P19" s="16" t="s">
        <v>162</v>
      </c>
      <c r="Q19" s="16" t="s">
        <v>162</v>
      </c>
      <c r="R19" s="15" t="s">
        <v>161</v>
      </c>
      <c r="S19" s="16" t="s">
        <v>162</v>
      </c>
      <c r="T19" s="77" t="s">
        <v>161</v>
      </c>
      <c r="U19" s="78" t="s">
        <v>162</v>
      </c>
      <c r="V19" s="218" t="s">
        <v>161</v>
      </c>
      <c r="W19" s="209" t="s">
        <v>162</v>
      </c>
      <c r="X19" s="218" t="s">
        <v>161</v>
      </c>
      <c r="Y19" s="209" t="s">
        <v>162</v>
      </c>
      <c r="Z19" s="218" t="s">
        <v>161</v>
      </c>
      <c r="AA19" s="209" t="s">
        <v>162</v>
      </c>
    </row>
    <row r="20" spans="1:28" s="23" customFormat="1" ht="33.75" x14ac:dyDescent="0.25">
      <c r="A20" s="1" t="s">
        <v>83</v>
      </c>
      <c r="B20" s="524">
        <v>1727</v>
      </c>
      <c r="C20" s="32">
        <v>25000000</v>
      </c>
      <c r="D20" s="2">
        <v>42751</v>
      </c>
      <c r="E20" s="1">
        <v>99</v>
      </c>
      <c r="F20" s="165">
        <v>28900644.710000001</v>
      </c>
      <c r="G20" s="142">
        <v>1</v>
      </c>
      <c r="H20" s="58">
        <v>192529.8</v>
      </c>
      <c r="I20" s="18">
        <v>62</v>
      </c>
      <c r="J20" s="95">
        <v>24250911.800000001</v>
      </c>
      <c r="K20" s="166">
        <f>63-1</f>
        <v>62</v>
      </c>
      <c r="L20" s="166">
        <f>63-1</f>
        <v>62</v>
      </c>
      <c r="M20" s="95">
        <v>24454949.25</v>
      </c>
      <c r="N20" s="58">
        <f>35+1</f>
        <v>36</v>
      </c>
      <c r="O20" s="159">
        <f>3471863.54+204037.45</f>
        <v>3675900.99</v>
      </c>
      <c r="P20" s="18">
        <v>0</v>
      </c>
      <c r="Q20" s="58">
        <f>C20-J20</f>
        <v>749088.19999999925</v>
      </c>
      <c r="R20" s="58">
        <v>94</v>
      </c>
      <c r="S20" s="159">
        <v>23736669.060000014</v>
      </c>
      <c r="T20" s="18">
        <v>94</v>
      </c>
      <c r="U20" s="18">
        <v>23507726.220000006</v>
      </c>
      <c r="V20" s="159">
        <v>2</v>
      </c>
      <c r="W20" s="159">
        <v>125848.67</v>
      </c>
      <c r="X20" s="159">
        <v>2</v>
      </c>
      <c r="Y20" s="159">
        <v>230222.59999999998</v>
      </c>
      <c r="Z20" s="159">
        <v>60</v>
      </c>
      <c r="AA20" s="159">
        <v>23151654.949999996</v>
      </c>
    </row>
    <row r="21" spans="1:28" s="23" customFormat="1" ht="30" customHeight="1" x14ac:dyDescent="0.25">
      <c r="A21" s="57" t="s">
        <v>497</v>
      </c>
      <c r="B21" s="141">
        <v>72266</v>
      </c>
      <c r="C21" s="99">
        <v>11484634.48</v>
      </c>
      <c r="D21" s="2">
        <v>45138</v>
      </c>
      <c r="E21" s="58">
        <v>66</v>
      </c>
      <c r="F21" s="58">
        <v>11029639.649999997</v>
      </c>
      <c r="G21" s="58">
        <v>1</v>
      </c>
      <c r="H21" s="58">
        <f>F21-10762488.29</f>
        <v>267151.35999999754</v>
      </c>
      <c r="I21" s="342">
        <v>44</v>
      </c>
      <c r="J21" s="364">
        <v>7853291.4300000006</v>
      </c>
      <c r="K21" s="525">
        <v>44</v>
      </c>
      <c r="L21" s="342">
        <v>44</v>
      </c>
      <c r="M21" s="364">
        <v>7853291.4300000006</v>
      </c>
      <c r="N21" s="342">
        <v>17</v>
      </c>
      <c r="O21" s="352">
        <v>2204353.1399999997</v>
      </c>
      <c r="P21" s="342">
        <f>J21-M21</f>
        <v>0</v>
      </c>
      <c r="Q21" s="342">
        <f>C21-J21</f>
        <v>3631343.05</v>
      </c>
      <c r="R21" s="342">
        <v>37</v>
      </c>
      <c r="S21" s="352">
        <v>4601150.32</v>
      </c>
      <c r="T21" s="58">
        <v>20</v>
      </c>
      <c r="U21" s="58">
        <v>2269649.9699999997</v>
      </c>
      <c r="V21" s="159">
        <v>11</v>
      </c>
      <c r="W21" s="352">
        <v>1209160.23</v>
      </c>
      <c r="X21" s="352">
        <v>1</v>
      </c>
      <c r="Y21" s="58">
        <v>12071.29</v>
      </c>
      <c r="Z21" s="352">
        <v>7</v>
      </c>
      <c r="AA21" s="58">
        <v>1048418.4500000001</v>
      </c>
      <c r="AB21" s="271"/>
    </row>
    <row r="22" spans="1:28" s="23" customFormat="1" x14ac:dyDescent="0.25">
      <c r="A22" s="1" t="s">
        <v>527</v>
      </c>
      <c r="B22" s="127">
        <v>19621</v>
      </c>
      <c r="C22" s="99">
        <v>16450000</v>
      </c>
      <c r="D22" s="106">
        <v>44286</v>
      </c>
      <c r="E22" s="342">
        <v>48</v>
      </c>
      <c r="F22" s="567">
        <v>21544518.960000001</v>
      </c>
      <c r="G22" s="136">
        <v>0</v>
      </c>
      <c r="H22" s="58">
        <v>0</v>
      </c>
      <c r="I22" s="342">
        <v>47</v>
      </c>
      <c r="J22" s="567">
        <v>20911580.539999999</v>
      </c>
      <c r="K22" s="363">
        <v>46</v>
      </c>
      <c r="L22" s="342">
        <v>46</v>
      </c>
      <c r="M22" s="364">
        <v>20785850.539999999</v>
      </c>
      <c r="N22" s="363">
        <v>1</v>
      </c>
      <c r="O22" s="352">
        <v>130200</v>
      </c>
      <c r="P22" s="58">
        <f>J22-M22</f>
        <v>125730</v>
      </c>
      <c r="Q22" s="58">
        <f>C22-J22</f>
        <v>-4461580.5399999991</v>
      </c>
      <c r="R22" s="363">
        <v>44</v>
      </c>
      <c r="S22" s="365">
        <v>15534927.610000001</v>
      </c>
      <c r="T22" s="342">
        <v>40</v>
      </c>
      <c r="U22" s="342">
        <v>13441206.229999999</v>
      </c>
      <c r="V22" s="352">
        <v>10</v>
      </c>
      <c r="W22" s="352">
        <v>2748328.2600000002</v>
      </c>
      <c r="X22" s="352">
        <v>2</v>
      </c>
      <c r="Y22" s="352">
        <v>1313184.77</v>
      </c>
      <c r="Z22" s="352">
        <v>22</v>
      </c>
      <c r="AA22" s="352">
        <v>9379693.1999999993</v>
      </c>
      <c r="AB22" s="304"/>
    </row>
    <row r="23" spans="1:28" x14ac:dyDescent="0.25">
      <c r="A23" s="19" t="s">
        <v>178</v>
      </c>
      <c r="B23" s="144"/>
      <c r="C23" s="20">
        <f>SUM(C20:C22)</f>
        <v>52934634.480000004</v>
      </c>
      <c r="D23" s="20"/>
      <c r="E23" s="20">
        <f>SUM(E20:E22)</f>
        <v>213</v>
      </c>
      <c r="F23" s="20">
        <f t="shared" ref="F23:T23" si="2">SUM(F20:F22)</f>
        <v>61474803.32</v>
      </c>
      <c r="G23" s="20">
        <f t="shared" si="2"/>
        <v>2</v>
      </c>
      <c r="H23" s="20">
        <f t="shared" si="2"/>
        <v>459681.15999999753</v>
      </c>
      <c r="I23" s="20">
        <f>SUM(I20:I22)</f>
        <v>153</v>
      </c>
      <c r="J23" s="20">
        <f t="shared" si="2"/>
        <v>53015783.769999996</v>
      </c>
      <c r="K23" s="20">
        <f t="shared" si="2"/>
        <v>152</v>
      </c>
      <c r="L23" s="20">
        <f t="shared" si="2"/>
        <v>152</v>
      </c>
      <c r="M23" s="20">
        <f t="shared" si="2"/>
        <v>53094091.219999999</v>
      </c>
      <c r="N23" s="20">
        <f t="shared" si="2"/>
        <v>54</v>
      </c>
      <c r="O23" s="20">
        <f t="shared" si="2"/>
        <v>6010454.1299999999</v>
      </c>
      <c r="P23" s="20">
        <f t="shared" si="2"/>
        <v>125730</v>
      </c>
      <c r="Q23" s="20">
        <f>SUM(Q20:Q22)</f>
        <v>-81149.290000000037</v>
      </c>
      <c r="R23" s="20">
        <f t="shared" si="2"/>
        <v>175</v>
      </c>
      <c r="S23" s="20">
        <f t="shared" si="2"/>
        <v>43872746.990000017</v>
      </c>
      <c r="T23" s="20">
        <f t="shared" si="2"/>
        <v>154</v>
      </c>
      <c r="U23" s="20">
        <f>SUM(U20:U22)-141402.24</f>
        <v>39077180.18</v>
      </c>
      <c r="V23" s="20">
        <f>SUM(V20:V22)</f>
        <v>23</v>
      </c>
      <c r="W23" s="20">
        <f>SUM(W20:W22)-141402.24</f>
        <v>3941934.92</v>
      </c>
      <c r="X23" s="20">
        <f t="shared" ref="X23:Z23" si="3">SUM(X20:X22)</f>
        <v>5</v>
      </c>
      <c r="Y23" s="20">
        <f>SUM(Y20:Y22)</f>
        <v>1555478.66</v>
      </c>
      <c r="Z23" s="20">
        <f t="shared" si="3"/>
        <v>89</v>
      </c>
      <c r="AA23" s="20">
        <f>SUM(AA20:AA22)</f>
        <v>33579766.599999994</v>
      </c>
      <c r="AB23" s="50"/>
    </row>
    <row r="24" spans="1:28" s="126" customFormat="1" ht="12.6" customHeight="1" x14ac:dyDescent="0.2">
      <c r="A24" s="976" t="s">
        <v>722</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row>
    <row r="25" spans="1:28" s="126" customFormat="1" ht="9" customHeight="1" x14ac:dyDescent="0.2">
      <c r="A25" s="976"/>
      <c r="B25" s="976"/>
      <c r="C25" s="976"/>
      <c r="D25" s="976"/>
      <c r="E25" s="976"/>
      <c r="F25" s="976"/>
      <c r="G25" s="976"/>
      <c r="H25" s="976"/>
      <c r="I25" s="976"/>
      <c r="J25" s="976"/>
      <c r="K25" s="976"/>
      <c r="L25" s="976"/>
      <c r="M25" s="976"/>
      <c r="N25" s="976"/>
      <c r="O25" s="976"/>
      <c r="P25" s="976"/>
      <c r="Q25" s="976"/>
      <c r="R25" s="976"/>
      <c r="S25" s="976"/>
      <c r="T25" s="976"/>
      <c r="U25" s="976"/>
      <c r="W25" s="339"/>
    </row>
    <row r="26" spans="1:28" x14ac:dyDescent="0.25">
      <c r="A26" s="971" t="s">
        <v>179</v>
      </c>
      <c r="B26" s="972"/>
      <c r="C26" s="971"/>
      <c r="D26" s="971"/>
      <c r="E26" s="971"/>
      <c r="F26" s="971"/>
      <c r="G26" s="972"/>
      <c r="H26" s="972"/>
      <c r="I26" s="971"/>
      <c r="J26" s="971"/>
      <c r="K26" s="971"/>
      <c r="L26" s="971"/>
      <c r="M26" s="971"/>
      <c r="N26" s="971"/>
      <c r="O26" s="971"/>
      <c r="P26" s="971"/>
      <c r="Q26" s="972"/>
      <c r="R26" s="971"/>
      <c r="S26" s="971"/>
      <c r="T26" s="971"/>
      <c r="U26" s="971"/>
    </row>
    <row r="27" spans="1:28" s="12" customFormat="1" ht="28.9" customHeight="1" x14ac:dyDescent="0.2">
      <c r="A27" s="943" t="s">
        <v>156</v>
      </c>
      <c r="B27" s="943" t="s">
        <v>282</v>
      </c>
      <c r="C27" s="943" t="s">
        <v>157</v>
      </c>
      <c r="D27" s="943" t="s">
        <v>158</v>
      </c>
      <c r="E27" s="937" t="s">
        <v>337</v>
      </c>
      <c r="F27" s="938"/>
      <c r="G27" s="937" t="s">
        <v>277</v>
      </c>
      <c r="H27" s="938"/>
      <c r="I27" s="968" t="s">
        <v>721</v>
      </c>
      <c r="J27" s="969"/>
      <c r="K27" s="947" t="s">
        <v>749</v>
      </c>
      <c r="L27" s="948"/>
      <c r="M27" s="948"/>
      <c r="N27" s="948"/>
      <c r="O27" s="949"/>
      <c r="P27" s="943" t="s">
        <v>250</v>
      </c>
      <c r="Q27" s="943" t="s">
        <v>625</v>
      </c>
      <c r="R27" s="937" t="s">
        <v>750</v>
      </c>
      <c r="S27" s="938"/>
      <c r="T27" s="937" t="s">
        <v>751</v>
      </c>
      <c r="U27" s="938"/>
      <c r="V27" s="936" t="s">
        <v>751</v>
      </c>
      <c r="W27" s="936"/>
      <c r="X27" s="936"/>
      <c r="Y27" s="936"/>
      <c r="Z27" s="936"/>
      <c r="AA27" s="936"/>
    </row>
    <row r="28" spans="1:28" s="12" customFormat="1" ht="14.45" customHeight="1" x14ac:dyDescent="0.2">
      <c r="A28" s="944"/>
      <c r="B28" s="944"/>
      <c r="C28" s="944"/>
      <c r="D28" s="944"/>
      <c r="E28" s="939"/>
      <c r="F28" s="940"/>
      <c r="G28" s="939"/>
      <c r="H28" s="940"/>
      <c r="I28" s="939"/>
      <c r="J28" s="940"/>
      <c r="K28" s="947" t="s">
        <v>160</v>
      </c>
      <c r="L28" s="948"/>
      <c r="M28" s="949"/>
      <c r="N28" s="937" t="s">
        <v>626</v>
      </c>
      <c r="O28" s="938"/>
      <c r="P28" s="944"/>
      <c r="Q28" s="944"/>
      <c r="R28" s="939"/>
      <c r="S28" s="940"/>
      <c r="T28" s="939"/>
      <c r="U28" s="940"/>
      <c r="V28" s="936"/>
      <c r="W28" s="936"/>
      <c r="X28" s="936"/>
      <c r="Y28" s="936"/>
      <c r="Z28" s="936"/>
      <c r="AA28" s="936"/>
    </row>
    <row r="29" spans="1:28" s="12" customFormat="1" ht="20.25" customHeight="1" x14ac:dyDescent="0.2">
      <c r="A29" s="944"/>
      <c r="B29" s="944"/>
      <c r="C29" s="944"/>
      <c r="D29" s="944"/>
      <c r="E29" s="941"/>
      <c r="F29" s="942"/>
      <c r="G29" s="941"/>
      <c r="H29" s="942"/>
      <c r="I29" s="941"/>
      <c r="J29" s="942"/>
      <c r="K29" s="950" t="s">
        <v>161</v>
      </c>
      <c r="L29" s="947" t="s">
        <v>247</v>
      </c>
      <c r="M29" s="949"/>
      <c r="N29" s="941"/>
      <c r="O29" s="942"/>
      <c r="P29" s="946"/>
      <c r="Q29" s="946"/>
      <c r="R29" s="941"/>
      <c r="S29" s="942"/>
      <c r="T29" s="941"/>
      <c r="U29" s="942"/>
      <c r="V29" s="936" t="s">
        <v>584</v>
      </c>
      <c r="W29" s="936"/>
      <c r="X29" s="936" t="s">
        <v>585</v>
      </c>
      <c r="Y29" s="936"/>
      <c r="Z29" s="936" t="s">
        <v>586</v>
      </c>
      <c r="AA29" s="936"/>
    </row>
    <row r="30" spans="1:28" s="12" customFormat="1" ht="21" x14ac:dyDescent="0.2">
      <c r="A30" s="945"/>
      <c r="B30" s="945"/>
      <c r="C30" s="945"/>
      <c r="D30" s="945"/>
      <c r="E30" s="154" t="s">
        <v>161</v>
      </c>
      <c r="F30" s="125" t="s">
        <v>162</v>
      </c>
      <c r="G30" s="15" t="s">
        <v>161</v>
      </c>
      <c r="H30" s="16" t="s">
        <v>162</v>
      </c>
      <c r="I30" s="154" t="s">
        <v>161</v>
      </c>
      <c r="J30" s="125" t="s">
        <v>162</v>
      </c>
      <c r="K30" s="951"/>
      <c r="L30" s="154" t="s">
        <v>161</v>
      </c>
      <c r="M30" s="125" t="s">
        <v>162</v>
      </c>
      <c r="N30" s="154" t="s">
        <v>161</v>
      </c>
      <c r="O30" s="125" t="s">
        <v>162</v>
      </c>
      <c r="P30" s="16" t="s">
        <v>162</v>
      </c>
      <c r="Q30" s="16" t="s">
        <v>162</v>
      </c>
      <c r="R30" s="15" t="s">
        <v>161</v>
      </c>
      <c r="S30" s="16" t="s">
        <v>162</v>
      </c>
      <c r="T30" s="77" t="s">
        <v>161</v>
      </c>
      <c r="U30" s="78" t="s">
        <v>162</v>
      </c>
      <c r="V30" s="218" t="s">
        <v>161</v>
      </c>
      <c r="W30" s="209" t="s">
        <v>162</v>
      </c>
      <c r="X30" s="218" t="s">
        <v>161</v>
      </c>
      <c r="Y30" s="209" t="s">
        <v>162</v>
      </c>
      <c r="Z30" s="218" t="s">
        <v>161</v>
      </c>
      <c r="AA30" s="209" t="s">
        <v>162</v>
      </c>
    </row>
    <row r="31" spans="1:28" s="23" customFormat="1" ht="22.5" x14ac:dyDescent="0.25">
      <c r="A31" s="164" t="s">
        <v>180</v>
      </c>
      <c r="B31" s="524">
        <v>7582</v>
      </c>
      <c r="C31" s="32">
        <f>50698156+4950000</f>
        <v>55648156</v>
      </c>
      <c r="D31" s="330">
        <v>43014</v>
      </c>
      <c r="E31" s="58">
        <v>315</v>
      </c>
      <c r="F31" s="165">
        <v>67768699.75</v>
      </c>
      <c r="G31" s="142">
        <v>0</v>
      </c>
      <c r="H31" s="142">
        <v>0</v>
      </c>
      <c r="I31" s="58">
        <v>250</v>
      </c>
      <c r="J31" s="32">
        <v>43893721.490000002</v>
      </c>
      <c r="K31" s="166">
        <v>249</v>
      </c>
      <c r="L31" s="58">
        <v>248</v>
      </c>
      <c r="M31" s="95">
        <v>43305302.64000003</v>
      </c>
      <c r="N31" s="179">
        <v>51</v>
      </c>
      <c r="O31" s="159">
        <v>10897343.410000002</v>
      </c>
      <c r="P31" s="58">
        <f>J31-M31</f>
        <v>588418.84999997169</v>
      </c>
      <c r="Q31" s="58">
        <v>0</v>
      </c>
      <c r="R31" s="18">
        <v>241</v>
      </c>
      <c r="S31" s="32">
        <v>35954937.800000019</v>
      </c>
      <c r="T31" s="18">
        <v>166</v>
      </c>
      <c r="U31" s="18">
        <v>23769345.090000022</v>
      </c>
      <c r="V31" s="18">
        <v>7</v>
      </c>
      <c r="W31" s="18">
        <v>890111.60999999987</v>
      </c>
      <c r="X31" s="18">
        <v>1</v>
      </c>
      <c r="Y31" s="18">
        <v>79066.070000000007</v>
      </c>
      <c r="Z31" s="18">
        <v>138</v>
      </c>
      <c r="AA31" s="18">
        <v>22800167.410000015</v>
      </c>
    </row>
    <row r="32" spans="1:28" s="23" customFormat="1" ht="24.6" customHeight="1" x14ac:dyDescent="0.25">
      <c r="A32" s="164" t="s">
        <v>181</v>
      </c>
      <c r="B32" s="141">
        <v>10643</v>
      </c>
      <c r="C32" s="32">
        <v>12242741</v>
      </c>
      <c r="D32" s="167">
        <v>43160</v>
      </c>
      <c r="E32" s="58">
        <v>37</v>
      </c>
      <c r="F32" s="165">
        <v>12431249.279999999</v>
      </c>
      <c r="G32" s="142">
        <v>0</v>
      </c>
      <c r="H32" s="142">
        <v>0</v>
      </c>
      <c r="I32" s="58">
        <v>23</v>
      </c>
      <c r="J32" s="168">
        <v>7139028.7700000005</v>
      </c>
      <c r="K32" s="166">
        <v>23</v>
      </c>
      <c r="L32" s="58">
        <v>23</v>
      </c>
      <c r="M32" s="95">
        <v>7139028.7700000005</v>
      </c>
      <c r="N32" s="179">
        <v>14</v>
      </c>
      <c r="O32" s="159">
        <v>3981819.16</v>
      </c>
      <c r="P32" s="58">
        <f>J32-M32</f>
        <v>0</v>
      </c>
      <c r="Q32" s="952">
        <v>2800000</v>
      </c>
      <c r="R32" s="18">
        <v>25</v>
      </c>
      <c r="S32" s="32">
        <v>4942904.6099999994</v>
      </c>
      <c r="T32" s="57">
        <v>20</v>
      </c>
      <c r="U32" s="18">
        <v>3484969.14</v>
      </c>
      <c r="V32" s="58">
        <v>0</v>
      </c>
      <c r="W32" s="58">
        <v>0</v>
      </c>
      <c r="X32" s="58">
        <v>0</v>
      </c>
      <c r="Y32" s="58">
        <v>0</v>
      </c>
      <c r="Z32" s="18">
        <v>13</v>
      </c>
      <c r="AA32" s="18">
        <v>3484969.14</v>
      </c>
    </row>
    <row r="33" spans="1:27" s="23" customFormat="1" ht="45" x14ac:dyDescent="0.25">
      <c r="A33" s="164" t="s">
        <v>565</v>
      </c>
      <c r="B33" s="141">
        <v>74261</v>
      </c>
      <c r="C33" s="159">
        <v>3412416.41</v>
      </c>
      <c r="D33" s="106">
        <v>45119</v>
      </c>
      <c r="E33" s="58">
        <v>9</v>
      </c>
      <c r="F33" s="58">
        <v>6542998.4000000004</v>
      </c>
      <c r="G33" s="58">
        <v>0</v>
      </c>
      <c r="H33" s="58">
        <v>0</v>
      </c>
      <c r="I33" s="58">
        <v>5</v>
      </c>
      <c r="J33" s="159">
        <f>M33+850000</f>
        <v>3679836.33</v>
      </c>
      <c r="K33" s="58">
        <v>5</v>
      </c>
      <c r="L33" s="58">
        <v>4</v>
      </c>
      <c r="M33" s="159">
        <v>2829836.33</v>
      </c>
      <c r="N33" s="342">
        <v>4</v>
      </c>
      <c r="O33" s="159">
        <v>2292998.4</v>
      </c>
      <c r="P33" s="58">
        <f>J33-M33</f>
        <v>850000</v>
      </c>
      <c r="Q33" s="953"/>
      <c r="R33" s="58">
        <v>1</v>
      </c>
      <c r="S33" s="58">
        <v>267296.22000000003</v>
      </c>
      <c r="T33" s="58">
        <v>1</v>
      </c>
      <c r="U33" s="58">
        <v>267296.21999999997</v>
      </c>
      <c r="V33" s="58">
        <v>1</v>
      </c>
      <c r="W33" s="58">
        <v>267296.21999999997</v>
      </c>
      <c r="X33" s="58">
        <v>0</v>
      </c>
      <c r="Y33" s="58">
        <v>0</v>
      </c>
      <c r="Z33" s="58">
        <v>0</v>
      </c>
      <c r="AA33" s="58">
        <v>0</v>
      </c>
    </row>
    <row r="34" spans="1:27" x14ac:dyDescent="0.25">
      <c r="A34" s="19" t="s">
        <v>182</v>
      </c>
      <c r="B34" s="144"/>
      <c r="C34" s="20">
        <f>SUM(C31:C33)</f>
        <v>71303313.409999996</v>
      </c>
      <c r="D34" s="20"/>
      <c r="E34" s="20">
        <f>SUM(E31:E33)</f>
        <v>361</v>
      </c>
      <c r="F34" s="20">
        <f t="shared" ref="F34:U34" si="4">SUM(F31:F33)</f>
        <v>86742947.430000007</v>
      </c>
      <c r="G34" s="20">
        <f t="shared" si="4"/>
        <v>0</v>
      </c>
      <c r="H34" s="20">
        <f t="shared" si="4"/>
        <v>0</v>
      </c>
      <c r="I34" s="20">
        <f t="shared" si="4"/>
        <v>278</v>
      </c>
      <c r="J34" s="20">
        <f t="shared" si="4"/>
        <v>54712586.590000004</v>
      </c>
      <c r="K34" s="20">
        <f t="shared" si="4"/>
        <v>277</v>
      </c>
      <c r="L34" s="20">
        <f t="shared" si="4"/>
        <v>275</v>
      </c>
      <c r="M34" s="20">
        <f t="shared" si="4"/>
        <v>53274167.740000032</v>
      </c>
      <c r="N34" s="20">
        <f t="shared" si="4"/>
        <v>69</v>
      </c>
      <c r="O34" s="20">
        <f t="shared" si="4"/>
        <v>17172160.970000003</v>
      </c>
      <c r="P34" s="20">
        <f t="shared" si="4"/>
        <v>1438418.8499999717</v>
      </c>
      <c r="Q34" s="20">
        <f t="shared" si="4"/>
        <v>2800000</v>
      </c>
      <c r="R34" s="20">
        <f t="shared" si="4"/>
        <v>267</v>
      </c>
      <c r="S34" s="20">
        <f t="shared" si="4"/>
        <v>41165138.630000018</v>
      </c>
      <c r="T34" s="20">
        <f t="shared" si="4"/>
        <v>187</v>
      </c>
      <c r="U34" s="20">
        <f t="shared" si="4"/>
        <v>27521610.450000022</v>
      </c>
      <c r="V34" s="20">
        <f t="shared" ref="V34:Z34" si="5">SUM(V31:V33)</f>
        <v>8</v>
      </c>
      <c r="W34" s="20">
        <f t="shared" si="5"/>
        <v>1157407.8299999998</v>
      </c>
      <c r="X34" s="20">
        <f t="shared" si="5"/>
        <v>1</v>
      </c>
      <c r="Y34" s="20">
        <f t="shared" si="5"/>
        <v>79066.070000000007</v>
      </c>
      <c r="Z34" s="20">
        <f t="shared" si="5"/>
        <v>151</v>
      </c>
      <c r="AA34" s="20">
        <f>SUM(AA31:AA33)</f>
        <v>26285136.550000016</v>
      </c>
    </row>
    <row r="35" spans="1:27" ht="15" customHeight="1" x14ac:dyDescent="0.25">
      <c r="A35" s="956" t="s">
        <v>390</v>
      </c>
      <c r="B35" s="956"/>
      <c r="C35" s="956"/>
      <c r="D35" s="956"/>
      <c r="E35" s="956"/>
      <c r="F35" s="956"/>
      <c r="G35" s="956"/>
      <c r="H35" s="956"/>
      <c r="I35" s="956"/>
      <c r="J35" s="956"/>
      <c r="K35" s="956"/>
      <c r="L35" s="956"/>
      <c r="M35" s="956"/>
      <c r="N35" s="956"/>
      <c r="O35" s="956"/>
      <c r="P35" s="956"/>
      <c r="Q35" s="956"/>
      <c r="R35" s="956"/>
      <c r="S35" s="956"/>
      <c r="T35" s="956"/>
      <c r="U35" s="956"/>
    </row>
    <row r="36" spans="1:27" s="126" customFormat="1" ht="12.6" customHeight="1" x14ac:dyDescent="0.2">
      <c r="A36" s="976" t="s">
        <v>723</v>
      </c>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6"/>
      <c r="Z36" s="976"/>
      <c r="AA36" s="976"/>
    </row>
    <row r="37" spans="1:27" ht="15" customHeight="1" x14ac:dyDescent="0.25">
      <c r="A37" s="970" t="s">
        <v>619</v>
      </c>
      <c r="B37" s="970"/>
      <c r="C37" s="970"/>
      <c r="D37" s="970"/>
      <c r="E37" s="970"/>
      <c r="F37" s="970"/>
      <c r="G37" s="970"/>
      <c r="H37" s="970"/>
      <c r="I37" s="970"/>
      <c r="J37" s="970"/>
      <c r="K37" s="970"/>
      <c r="L37" s="970"/>
      <c r="M37" s="970"/>
      <c r="N37" s="970"/>
      <c r="O37" s="970"/>
      <c r="P37" s="970"/>
      <c r="Q37" s="970"/>
      <c r="R37" s="970"/>
      <c r="S37" s="970"/>
      <c r="T37" s="970"/>
      <c r="U37" s="970"/>
      <c r="W37" s="278"/>
      <c r="Z37" s="50"/>
    </row>
    <row r="38" spans="1:27" s="23" customFormat="1" ht="15.6" customHeight="1" x14ac:dyDescent="0.25">
      <c r="A38" s="935" t="s">
        <v>744</v>
      </c>
      <c r="B38" s="935"/>
      <c r="C38" s="935"/>
      <c r="D38" s="935"/>
      <c r="E38" s="935"/>
      <c r="F38" s="935"/>
      <c r="G38" s="935"/>
      <c r="H38" s="935"/>
      <c r="I38" s="935"/>
      <c r="J38" s="935"/>
      <c r="K38" s="935"/>
      <c r="L38" s="935"/>
      <c r="M38" s="935"/>
      <c r="N38" s="935"/>
      <c r="O38" s="935"/>
      <c r="P38" s="935"/>
      <c r="Q38" s="935"/>
      <c r="R38" s="935"/>
      <c r="S38" s="935"/>
      <c r="T38" s="935"/>
      <c r="U38" s="935"/>
      <c r="V38" s="935"/>
      <c r="W38" s="935"/>
      <c r="X38" s="935"/>
      <c r="Y38" s="935"/>
      <c r="Z38" s="935"/>
      <c r="AA38" s="935"/>
    </row>
    <row r="39" spans="1:27" x14ac:dyDescent="0.25">
      <c r="A39" s="12"/>
      <c r="B39" s="124"/>
      <c r="E39" s="385"/>
      <c r="F39" s="385"/>
      <c r="G39" s="385"/>
      <c r="H39" s="385"/>
      <c r="I39" s="385"/>
      <c r="J39" s="385"/>
      <c r="K39" s="385"/>
      <c r="L39" s="385"/>
      <c r="M39" s="385"/>
      <c r="N39" s="385"/>
      <c r="O39" s="385"/>
      <c r="P39" s="385"/>
      <c r="Q39" s="385"/>
      <c r="R39" s="385"/>
      <c r="S39" s="385"/>
      <c r="T39" s="385"/>
      <c r="U39" s="385"/>
      <c r="V39" s="385"/>
    </row>
    <row r="40" spans="1:27" x14ac:dyDescent="0.25">
      <c r="D40" s="50"/>
      <c r="E40" s="50"/>
      <c r="F40" s="50"/>
      <c r="G40" s="143"/>
      <c r="H40" s="50"/>
      <c r="U40" s="48"/>
    </row>
    <row r="41" spans="1:27" x14ac:dyDescent="0.25">
      <c r="C41" s="50"/>
      <c r="D41" s="50"/>
      <c r="E41" s="50"/>
      <c r="F41" s="50"/>
      <c r="G41" s="50"/>
      <c r="H41" s="50"/>
      <c r="I41" s="50"/>
      <c r="J41" s="50"/>
      <c r="K41" s="50"/>
      <c r="L41" s="50"/>
      <c r="M41" s="50"/>
      <c r="N41" s="50"/>
      <c r="O41" s="50"/>
      <c r="P41" s="50"/>
      <c r="Q41" s="50"/>
      <c r="R41" s="50"/>
      <c r="S41" s="50"/>
      <c r="T41" s="50"/>
      <c r="U41" s="50"/>
    </row>
  </sheetData>
  <mergeCells count="72">
    <mergeCell ref="A36:AA36"/>
    <mergeCell ref="Q32:Q33"/>
    <mergeCell ref="A1:U1"/>
    <mergeCell ref="A2:A5"/>
    <mergeCell ref="C2:C5"/>
    <mergeCell ref="D2:D5"/>
    <mergeCell ref="E2:F4"/>
    <mergeCell ref="I2:J4"/>
    <mergeCell ref="K2:O2"/>
    <mergeCell ref="P2:P4"/>
    <mergeCell ref="R2:S4"/>
    <mergeCell ref="T2:U4"/>
    <mergeCell ref="K3:M3"/>
    <mergeCell ref="N3:O4"/>
    <mergeCell ref="P27:P29"/>
    <mergeCell ref="N28:O29"/>
    <mergeCell ref="N17:O18"/>
    <mergeCell ref="K18:K19"/>
    <mergeCell ref="L18:M18"/>
    <mergeCell ref="K27:O27"/>
    <mergeCell ref="A24:AA24"/>
    <mergeCell ref="R27:S29"/>
    <mergeCell ref="D27:D30"/>
    <mergeCell ref="E27:F29"/>
    <mergeCell ref="A14:U14"/>
    <mergeCell ref="A25:U25"/>
    <mergeCell ref="A27:A30"/>
    <mergeCell ref="K16:O16"/>
    <mergeCell ref="Q16:Q18"/>
    <mergeCell ref="Q27:Q29"/>
    <mergeCell ref="A15:U15"/>
    <mergeCell ref="A16:A19"/>
    <mergeCell ref="C16:C19"/>
    <mergeCell ref="D16:D19"/>
    <mergeCell ref="E16:F18"/>
    <mergeCell ref="I16:J18"/>
    <mergeCell ref="K28:M28"/>
    <mergeCell ref="K29:K30"/>
    <mergeCell ref="G16:H18"/>
    <mergeCell ref="L29:M29"/>
    <mergeCell ref="V2:AA3"/>
    <mergeCell ref="V4:W4"/>
    <mergeCell ref="X4:Y4"/>
    <mergeCell ref="Z4:AA4"/>
    <mergeCell ref="V16:AA17"/>
    <mergeCell ref="A13:AA13"/>
    <mergeCell ref="P16:P18"/>
    <mergeCell ref="T16:U18"/>
    <mergeCell ref="B16:B19"/>
    <mergeCell ref="K17:M17"/>
    <mergeCell ref="R16:S18"/>
    <mergeCell ref="K4:K5"/>
    <mergeCell ref="L4:M4"/>
    <mergeCell ref="B2:B5"/>
    <mergeCell ref="Q2:Q4"/>
    <mergeCell ref="G2:H4"/>
    <mergeCell ref="A38:AA38"/>
    <mergeCell ref="V18:W18"/>
    <mergeCell ref="X18:Y18"/>
    <mergeCell ref="Z18:AA18"/>
    <mergeCell ref="V27:AA28"/>
    <mergeCell ref="V29:W29"/>
    <mergeCell ref="X29:Y29"/>
    <mergeCell ref="Z29:AA29"/>
    <mergeCell ref="A37:U37"/>
    <mergeCell ref="A35:U35"/>
    <mergeCell ref="G27:H29"/>
    <mergeCell ref="B27:B30"/>
    <mergeCell ref="A26:U26"/>
    <mergeCell ref="I27:J29"/>
    <mergeCell ref="C27:C30"/>
    <mergeCell ref="T27:U29"/>
  </mergeCells>
  <pageMargins left="0.39370078740157483" right="0.39370078740157483" top="0.39370078740157483" bottom="0.39370078740157483" header="0.31496062992125984" footer="0.31496062992125984"/>
  <pageSetup paperSize="9" scale="6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C25"/>
  <sheetViews>
    <sheetView view="pageBreakPreview" topLeftCell="A10" zoomScaleNormal="100" zoomScaleSheetLayoutView="100" workbookViewId="0">
      <selection activeCell="W19" activeCellId="1" sqref="AA19 W19"/>
    </sheetView>
  </sheetViews>
  <sheetFormatPr defaultColWidth="8.7109375" defaultRowHeight="11.25" x14ac:dyDescent="0.2"/>
  <cols>
    <col min="1" max="1" width="8.7109375" style="12"/>
    <col min="2" max="2" width="8.28515625" style="12" customWidth="1"/>
    <col min="3" max="4" width="8.7109375" style="12"/>
    <col min="5" max="5" width="4.7109375" style="12" bestFit="1" customWidth="1"/>
    <col min="6" max="6" width="9.5703125" style="12" customWidth="1"/>
    <col min="7" max="7" width="3.28515625" style="12" bestFit="1" customWidth="1"/>
    <col min="8" max="8" width="7.42578125" style="12" bestFit="1" customWidth="1"/>
    <col min="9" max="9" width="4.7109375" style="12" bestFit="1" customWidth="1"/>
    <col min="10" max="10" width="9.42578125" style="12" customWidth="1"/>
    <col min="11" max="12" width="3.28515625" style="12" bestFit="1" customWidth="1"/>
    <col min="13" max="13" width="10" style="12" bestFit="1" customWidth="1"/>
    <col min="14" max="14" width="3.5703125" style="12" customWidth="1"/>
    <col min="15" max="16" width="8.85546875" style="12" bestFit="1" customWidth="1"/>
    <col min="17" max="17" width="8.85546875" style="12" customWidth="1"/>
    <col min="18" max="18" width="3.28515625" style="12" bestFit="1" customWidth="1"/>
    <col min="19" max="19" width="9.28515625" style="12" customWidth="1"/>
    <col min="20" max="20" width="4.7109375" style="12" bestFit="1" customWidth="1"/>
    <col min="21" max="21" width="9.42578125" style="12" customWidth="1"/>
    <col min="22" max="22" width="3.140625" style="12" bestFit="1" customWidth="1"/>
    <col min="23" max="23" width="11" style="12" customWidth="1"/>
    <col min="24" max="24" width="3.140625" style="12" bestFit="1" customWidth="1"/>
    <col min="25" max="25" width="9.5703125" style="12" customWidth="1"/>
    <col min="26" max="26" width="3.140625" style="12" bestFit="1" customWidth="1"/>
    <col min="27" max="27" width="9.5703125" style="12" bestFit="1" customWidth="1"/>
    <col min="28" max="16384" width="8.7109375" style="12"/>
  </cols>
  <sheetData>
    <row r="1" spans="1:29" ht="15" customHeight="1" x14ac:dyDescent="0.2">
      <c r="A1" s="980" t="s">
        <v>183</v>
      </c>
      <c r="B1" s="980"/>
      <c r="C1" s="980"/>
      <c r="D1" s="980"/>
      <c r="E1" s="980"/>
      <c r="F1" s="980"/>
      <c r="G1" s="980"/>
      <c r="H1" s="980"/>
      <c r="I1" s="980"/>
      <c r="J1" s="980"/>
      <c r="K1" s="980"/>
      <c r="L1" s="980"/>
      <c r="M1" s="980"/>
      <c r="N1" s="980"/>
      <c r="O1" s="980"/>
      <c r="P1" s="980"/>
      <c r="Q1" s="980"/>
      <c r="R1" s="980"/>
      <c r="S1" s="980"/>
      <c r="T1" s="980"/>
      <c r="U1" s="980"/>
    </row>
    <row r="2" spans="1:29" ht="28.9" customHeight="1" x14ac:dyDescent="0.2">
      <c r="A2" s="943" t="s">
        <v>156</v>
      </c>
      <c r="B2" s="943" t="s">
        <v>282</v>
      </c>
      <c r="C2" s="943" t="s">
        <v>157</v>
      </c>
      <c r="D2" s="943" t="s">
        <v>158</v>
      </c>
      <c r="E2" s="968" t="s">
        <v>337</v>
      </c>
      <c r="F2" s="969"/>
      <c r="G2" s="968" t="s">
        <v>277</v>
      </c>
      <c r="H2" s="969"/>
      <c r="I2" s="968" t="s">
        <v>721</v>
      </c>
      <c r="J2" s="969"/>
      <c r="K2" s="947" t="s">
        <v>749</v>
      </c>
      <c r="L2" s="948"/>
      <c r="M2" s="948"/>
      <c r="N2" s="948"/>
      <c r="O2" s="949"/>
      <c r="P2" s="943" t="s">
        <v>250</v>
      </c>
      <c r="Q2" s="943" t="s">
        <v>625</v>
      </c>
      <c r="R2" s="937" t="s">
        <v>750</v>
      </c>
      <c r="S2" s="938"/>
      <c r="T2" s="937" t="s">
        <v>751</v>
      </c>
      <c r="U2" s="938"/>
      <c r="V2" s="936" t="s">
        <v>751</v>
      </c>
      <c r="W2" s="936"/>
      <c r="X2" s="936"/>
      <c r="Y2" s="936"/>
      <c r="Z2" s="936"/>
      <c r="AA2" s="936"/>
    </row>
    <row r="3" spans="1:29"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9"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9" ht="21" x14ac:dyDescent="0.2">
      <c r="A5" s="946"/>
      <c r="B5" s="945"/>
      <c r="C5" s="946"/>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9" s="92" customFormat="1" ht="78.75" x14ac:dyDescent="0.2">
      <c r="A6" s="3" t="s">
        <v>184</v>
      </c>
      <c r="B6" s="297">
        <v>22122</v>
      </c>
      <c r="C6" s="32">
        <v>1400000</v>
      </c>
      <c r="D6" s="31">
        <v>43648</v>
      </c>
      <c r="E6" s="25">
        <v>3</v>
      </c>
      <c r="F6" s="298">
        <v>588551.51</v>
      </c>
      <c r="G6" s="57">
        <v>0</v>
      </c>
      <c r="H6" s="57">
        <v>0</v>
      </c>
      <c r="I6" s="213">
        <v>2</v>
      </c>
      <c r="J6" s="213">
        <v>286523.71000000002</v>
      </c>
      <c r="K6" s="213">
        <v>2</v>
      </c>
      <c r="L6" s="213">
        <v>2</v>
      </c>
      <c r="M6" s="213">
        <v>286523.71000000002</v>
      </c>
      <c r="N6" s="213">
        <v>1</v>
      </c>
      <c r="O6" s="213">
        <v>188551.52</v>
      </c>
      <c r="P6" s="18">
        <v>0</v>
      </c>
      <c r="Q6" s="952">
        <f>3000000-M8</f>
        <v>1543618.17</v>
      </c>
      <c r="R6" s="3">
        <v>3</v>
      </c>
      <c r="S6" s="70">
        <v>268313.57</v>
      </c>
      <c r="T6" s="57">
        <v>3</v>
      </c>
      <c r="U6" s="81">
        <v>266155.84999999998</v>
      </c>
      <c r="V6" s="187">
        <v>0</v>
      </c>
      <c r="W6" s="187">
        <v>0</v>
      </c>
      <c r="X6" s="187">
        <v>0</v>
      </c>
      <c r="Y6" s="187">
        <v>0</v>
      </c>
      <c r="Z6" s="336">
        <v>2</v>
      </c>
      <c r="AA6" s="81">
        <v>266155.84999999998</v>
      </c>
    </row>
    <row r="7" spans="1:29" s="92" customFormat="1" ht="67.5" x14ac:dyDescent="0.2">
      <c r="A7" s="3" t="s">
        <v>86</v>
      </c>
      <c r="B7" s="156">
        <v>39502</v>
      </c>
      <c r="C7" s="159">
        <v>2411000</v>
      </c>
      <c r="D7" s="2">
        <v>44043</v>
      </c>
      <c r="E7" s="25">
        <v>91</v>
      </c>
      <c r="F7" s="298">
        <v>2080380.81</v>
      </c>
      <c r="G7" s="57">
        <v>1</v>
      </c>
      <c r="H7" s="298">
        <v>24016.949999999488</v>
      </c>
      <c r="I7" s="213">
        <v>54</v>
      </c>
      <c r="J7" s="213">
        <v>1169858.3999999999</v>
      </c>
      <c r="K7" s="213">
        <f>77-23</f>
        <v>54</v>
      </c>
      <c r="L7" s="213">
        <f>77-23</f>
        <v>54</v>
      </c>
      <c r="M7" s="213">
        <f>1678426.12-508568</f>
        <v>1169858.1200000001</v>
      </c>
      <c r="N7" s="213">
        <f>13+23</f>
        <v>36</v>
      </c>
      <c r="O7" s="213">
        <f>311813.08+508568</f>
        <v>820381.08000000007</v>
      </c>
      <c r="P7" s="18">
        <v>0</v>
      </c>
      <c r="Q7" s="953"/>
      <c r="R7" s="3">
        <v>81</v>
      </c>
      <c r="S7" s="70">
        <v>1236675.6100000008</v>
      </c>
      <c r="T7" s="57">
        <v>77</v>
      </c>
      <c r="U7" s="81">
        <v>1178433.7999999998</v>
      </c>
      <c r="V7" s="336">
        <v>3</v>
      </c>
      <c r="W7" s="81">
        <v>35847.61</v>
      </c>
      <c r="X7" s="187"/>
      <c r="Y7" s="187"/>
      <c r="Z7" s="336">
        <v>54</v>
      </c>
      <c r="AA7" s="81">
        <v>1142586.1900000002</v>
      </c>
      <c r="AB7" s="259"/>
      <c r="AC7" s="259"/>
    </row>
    <row r="8" spans="1:29" x14ac:dyDescent="0.2">
      <c r="A8" s="19" t="s">
        <v>185</v>
      </c>
      <c r="B8" s="59"/>
      <c r="C8" s="20">
        <f>SUM(C6:C7)</f>
        <v>3811000</v>
      </c>
      <c r="D8" s="20"/>
      <c r="E8" s="20">
        <f t="shared" ref="E8:AA8" si="0">SUM(E6:E7)</f>
        <v>94</v>
      </c>
      <c r="F8" s="20">
        <f t="shared" si="0"/>
        <v>2668932.3200000003</v>
      </c>
      <c r="G8" s="20">
        <f t="shared" si="0"/>
        <v>1</v>
      </c>
      <c r="H8" s="20">
        <f t="shared" si="0"/>
        <v>24016.949999999488</v>
      </c>
      <c r="I8" s="20">
        <f t="shared" si="0"/>
        <v>56</v>
      </c>
      <c r="J8" s="20">
        <f t="shared" si="0"/>
        <v>1456382.1099999999</v>
      </c>
      <c r="K8" s="20">
        <f t="shared" si="0"/>
        <v>56</v>
      </c>
      <c r="L8" s="20">
        <f t="shared" si="0"/>
        <v>56</v>
      </c>
      <c r="M8" s="20">
        <f t="shared" si="0"/>
        <v>1456381.83</v>
      </c>
      <c r="N8" s="20">
        <f t="shared" si="0"/>
        <v>37</v>
      </c>
      <c r="O8" s="20">
        <f t="shared" si="0"/>
        <v>1008932.6000000001</v>
      </c>
      <c r="P8" s="20">
        <f>SUM(P6:P7)</f>
        <v>0</v>
      </c>
      <c r="Q8" s="20">
        <f>SUM(Q6:Q7)</f>
        <v>1543618.17</v>
      </c>
      <c r="R8" s="20">
        <f t="shared" si="0"/>
        <v>84</v>
      </c>
      <c r="S8" s="20">
        <f>SUM(S6:S7)</f>
        <v>1504989.1800000009</v>
      </c>
      <c r="T8" s="60">
        <f t="shared" si="0"/>
        <v>80</v>
      </c>
      <c r="U8" s="60">
        <f>SUM(U6:U7)-15218.6</f>
        <v>1429371.0499999998</v>
      </c>
      <c r="V8" s="60">
        <f t="shared" si="0"/>
        <v>3</v>
      </c>
      <c r="W8" s="60">
        <f>SUM(W6:W7)-15218.6</f>
        <v>20629.010000000002</v>
      </c>
      <c r="X8" s="60">
        <f t="shared" si="0"/>
        <v>0</v>
      </c>
      <c r="Y8" s="60">
        <f t="shared" si="0"/>
        <v>0</v>
      </c>
      <c r="Z8" s="60">
        <f t="shared" si="0"/>
        <v>56</v>
      </c>
      <c r="AA8" s="60">
        <f t="shared" si="0"/>
        <v>1408742.04</v>
      </c>
    </row>
    <row r="9" spans="1:29" x14ac:dyDescent="0.2">
      <c r="A9" s="979" t="s">
        <v>728</v>
      </c>
      <c r="B9" s="979"/>
      <c r="C9" s="979"/>
      <c r="D9" s="979"/>
      <c r="E9" s="979"/>
      <c r="F9" s="979"/>
      <c r="G9" s="979"/>
      <c r="H9" s="979"/>
      <c r="I9" s="979"/>
      <c r="J9" s="979"/>
      <c r="K9" s="979"/>
    </row>
    <row r="11" spans="1:29" ht="13.15" customHeight="1" x14ac:dyDescent="0.2">
      <c r="A11" s="980" t="s">
        <v>186</v>
      </c>
      <c r="B11" s="980"/>
      <c r="C11" s="980"/>
      <c r="D11" s="980"/>
      <c r="E11" s="980"/>
      <c r="F11" s="980"/>
      <c r="G11" s="980"/>
      <c r="H11" s="980"/>
      <c r="I11" s="980"/>
      <c r="J11" s="980"/>
      <c r="K11" s="980"/>
      <c r="L11" s="980"/>
      <c r="M11" s="980"/>
      <c r="N11" s="980"/>
      <c r="O11" s="980"/>
      <c r="P11" s="980"/>
      <c r="Q11" s="980"/>
      <c r="R11" s="980"/>
      <c r="S11" s="980"/>
      <c r="T11" s="980"/>
      <c r="U11" s="980"/>
    </row>
    <row r="12" spans="1:29" ht="28.9" customHeight="1" x14ac:dyDescent="0.2">
      <c r="A12" s="943" t="s">
        <v>156</v>
      </c>
      <c r="B12" s="943" t="s">
        <v>282</v>
      </c>
      <c r="C12" s="943" t="s">
        <v>157</v>
      </c>
      <c r="D12" s="943" t="s">
        <v>158</v>
      </c>
      <c r="E12" s="968" t="s">
        <v>337</v>
      </c>
      <c r="F12" s="969"/>
      <c r="G12" s="968" t="s">
        <v>277</v>
      </c>
      <c r="H12" s="969"/>
      <c r="I12" s="968" t="s">
        <v>721</v>
      </c>
      <c r="J12" s="969"/>
      <c r="K12" s="947" t="s">
        <v>749</v>
      </c>
      <c r="L12" s="948"/>
      <c r="M12" s="948"/>
      <c r="N12" s="948"/>
      <c r="O12" s="949"/>
      <c r="P12" s="943" t="s">
        <v>250</v>
      </c>
      <c r="Q12" s="943" t="s">
        <v>625</v>
      </c>
      <c r="R12" s="937" t="s">
        <v>750</v>
      </c>
      <c r="S12" s="938"/>
      <c r="T12" s="937" t="s">
        <v>751</v>
      </c>
      <c r="U12" s="938"/>
      <c r="V12" s="936" t="s">
        <v>751</v>
      </c>
      <c r="W12" s="936"/>
      <c r="X12" s="936"/>
      <c r="Y12" s="936"/>
      <c r="Z12" s="936"/>
      <c r="AA12" s="936"/>
    </row>
    <row r="13" spans="1:29" ht="14.45" customHeight="1" x14ac:dyDescent="0.2">
      <c r="A13" s="944"/>
      <c r="B13" s="944"/>
      <c r="C13" s="944"/>
      <c r="D13" s="944"/>
      <c r="E13" s="939"/>
      <c r="F13" s="940"/>
      <c r="G13" s="939"/>
      <c r="H13" s="940"/>
      <c r="I13" s="939"/>
      <c r="J13" s="940"/>
      <c r="K13" s="947" t="s">
        <v>160</v>
      </c>
      <c r="L13" s="948"/>
      <c r="M13" s="949"/>
      <c r="N13" s="937" t="s">
        <v>626</v>
      </c>
      <c r="O13" s="938"/>
      <c r="P13" s="944"/>
      <c r="Q13" s="944"/>
      <c r="R13" s="939"/>
      <c r="S13" s="940"/>
      <c r="T13" s="939"/>
      <c r="U13" s="940"/>
      <c r="V13" s="936"/>
      <c r="W13" s="936"/>
      <c r="X13" s="936"/>
      <c r="Y13" s="936"/>
      <c r="Z13" s="936"/>
      <c r="AA13" s="936"/>
    </row>
    <row r="14" spans="1:29" ht="20.25" customHeight="1" x14ac:dyDescent="0.2">
      <c r="A14" s="944"/>
      <c r="B14" s="944"/>
      <c r="C14" s="944"/>
      <c r="D14" s="944"/>
      <c r="E14" s="941"/>
      <c r="F14" s="942"/>
      <c r="G14" s="941"/>
      <c r="H14" s="942"/>
      <c r="I14" s="941"/>
      <c r="J14" s="942"/>
      <c r="K14" s="950" t="s">
        <v>161</v>
      </c>
      <c r="L14" s="947" t="s">
        <v>247</v>
      </c>
      <c r="M14" s="949"/>
      <c r="N14" s="941"/>
      <c r="O14" s="942"/>
      <c r="P14" s="946"/>
      <c r="Q14" s="946"/>
      <c r="R14" s="941"/>
      <c r="S14" s="942"/>
      <c r="T14" s="941"/>
      <c r="U14" s="942"/>
      <c r="V14" s="936" t="s">
        <v>584</v>
      </c>
      <c r="W14" s="936"/>
      <c r="X14" s="936" t="s">
        <v>585</v>
      </c>
      <c r="Y14" s="936"/>
      <c r="Z14" s="936" t="s">
        <v>586</v>
      </c>
      <c r="AA14" s="936"/>
    </row>
    <row r="15" spans="1:29" ht="21" x14ac:dyDescent="0.2">
      <c r="A15" s="946"/>
      <c r="B15" s="945"/>
      <c r="C15" s="945"/>
      <c r="D15" s="945"/>
      <c r="E15" s="154" t="s">
        <v>161</v>
      </c>
      <c r="F15" s="125" t="s">
        <v>162</v>
      </c>
      <c r="G15" s="15" t="s">
        <v>161</v>
      </c>
      <c r="H15" s="16" t="s">
        <v>162</v>
      </c>
      <c r="I15" s="154" t="s">
        <v>161</v>
      </c>
      <c r="J15" s="125" t="s">
        <v>162</v>
      </c>
      <c r="K15" s="951"/>
      <c r="L15" s="154" t="s">
        <v>161</v>
      </c>
      <c r="M15" s="125" t="s">
        <v>162</v>
      </c>
      <c r="N15" s="154" t="s">
        <v>161</v>
      </c>
      <c r="O15" s="125" t="s">
        <v>162</v>
      </c>
      <c r="P15" s="16" t="s">
        <v>162</v>
      </c>
      <c r="Q15" s="16" t="s">
        <v>162</v>
      </c>
      <c r="R15" s="15" t="s">
        <v>161</v>
      </c>
      <c r="S15" s="16" t="s">
        <v>162</v>
      </c>
      <c r="T15" s="77" t="s">
        <v>161</v>
      </c>
      <c r="U15" s="78" t="s">
        <v>162</v>
      </c>
      <c r="V15" s="218" t="s">
        <v>161</v>
      </c>
      <c r="W15" s="209" t="s">
        <v>162</v>
      </c>
      <c r="X15" s="218" t="s">
        <v>161</v>
      </c>
      <c r="Y15" s="209" t="s">
        <v>162</v>
      </c>
      <c r="Z15" s="218" t="s">
        <v>161</v>
      </c>
      <c r="AA15" s="209" t="s">
        <v>162</v>
      </c>
    </row>
    <row r="16" spans="1:29" s="92" customFormat="1" ht="56.25" x14ac:dyDescent="0.2">
      <c r="A16" s="3" t="s">
        <v>87</v>
      </c>
      <c r="B16" s="260">
        <v>8021</v>
      </c>
      <c r="C16" s="94">
        <v>2500000</v>
      </c>
      <c r="D16" s="31">
        <v>43111</v>
      </c>
      <c r="E16" s="1">
        <v>59</v>
      </c>
      <c r="F16" s="261">
        <v>3590581.1300000013</v>
      </c>
      <c r="G16" s="208">
        <v>1</v>
      </c>
      <c r="H16" s="208">
        <v>47122.83</v>
      </c>
      <c r="I16" s="1">
        <v>29</v>
      </c>
      <c r="J16" s="261">
        <v>1531924.24</v>
      </c>
      <c r="K16" s="279">
        <f>36-7</f>
        <v>29</v>
      </c>
      <c r="L16" s="279">
        <f>36-7</f>
        <v>29</v>
      </c>
      <c r="M16" s="71">
        <v>1531924.24</v>
      </c>
      <c r="N16" s="279">
        <f>23+7</f>
        <v>30</v>
      </c>
      <c r="O16" s="81">
        <f>826504.09+173020</f>
        <v>999524.09</v>
      </c>
      <c r="P16" s="58">
        <v>0</v>
      </c>
      <c r="Q16" s="58">
        <f>C16-M16</f>
        <v>968075.76</v>
      </c>
      <c r="R16" s="213">
        <v>39</v>
      </c>
      <c r="S16" s="213">
        <v>1452006.3900000001</v>
      </c>
      <c r="T16" s="57">
        <v>39</v>
      </c>
      <c r="U16" s="81">
        <v>1423592.34</v>
      </c>
      <c r="V16" s="336">
        <v>1</v>
      </c>
      <c r="W16" s="81">
        <v>23561.41</v>
      </c>
      <c r="X16" s="187">
        <v>0</v>
      </c>
      <c r="Y16" s="187">
        <v>0</v>
      </c>
      <c r="Z16" s="336">
        <v>27</v>
      </c>
      <c r="AA16" s="81">
        <v>1400030.9300000002</v>
      </c>
      <c r="AB16" s="259"/>
    </row>
    <row r="17" spans="1:28" s="92" customFormat="1" ht="61.9" customHeight="1" x14ac:dyDescent="0.2">
      <c r="A17" s="57" t="s">
        <v>381</v>
      </c>
      <c r="B17" s="260">
        <v>58265</v>
      </c>
      <c r="C17" s="159">
        <v>4250000</v>
      </c>
      <c r="D17" s="31">
        <v>44592</v>
      </c>
      <c r="E17" s="187">
        <v>77</v>
      </c>
      <c r="F17" s="261">
        <v>5956515.4299999997</v>
      </c>
      <c r="G17" s="187">
        <v>0</v>
      </c>
      <c r="H17" s="187">
        <v>0</v>
      </c>
      <c r="I17" s="187">
        <v>56</v>
      </c>
      <c r="J17" s="159">
        <v>3794230.5</v>
      </c>
      <c r="K17" s="279">
        <v>56</v>
      </c>
      <c r="L17" s="279">
        <f>57-1</f>
        <v>56</v>
      </c>
      <c r="M17" s="71">
        <f>3876105.5-81875</f>
        <v>3794230.5</v>
      </c>
      <c r="N17" s="187">
        <f>18+1</f>
        <v>19</v>
      </c>
      <c r="O17" s="81">
        <f>965430.25+81875</f>
        <v>1047305.25</v>
      </c>
      <c r="P17" s="58">
        <f>J17-M17</f>
        <v>0</v>
      </c>
      <c r="Q17" s="58">
        <f>C17-J17</f>
        <v>455769.5</v>
      </c>
      <c r="R17" s="3">
        <v>52</v>
      </c>
      <c r="S17" s="70">
        <v>2588409.35</v>
      </c>
      <c r="T17" s="57">
        <v>33</v>
      </c>
      <c r="U17" s="56">
        <v>1637698.41</v>
      </c>
      <c r="V17" s="336">
        <v>10</v>
      </c>
      <c r="W17" s="81">
        <v>481788.7</v>
      </c>
      <c r="X17" s="187">
        <v>0</v>
      </c>
      <c r="Y17" s="187">
        <v>0</v>
      </c>
      <c r="Z17" s="336">
        <v>18</v>
      </c>
      <c r="AA17" s="81">
        <v>1155909.7100000002</v>
      </c>
      <c r="AB17" s="315"/>
    </row>
    <row r="18" spans="1:28" s="92" customFormat="1" ht="78.75" x14ac:dyDescent="0.2">
      <c r="A18" s="57" t="s">
        <v>597</v>
      </c>
      <c r="B18" s="354">
        <v>78342</v>
      </c>
      <c r="C18" s="352">
        <v>5000000</v>
      </c>
      <c r="D18" s="31">
        <v>45397</v>
      </c>
      <c r="E18" s="187">
        <v>575</v>
      </c>
      <c r="F18" s="261">
        <v>48699214.109999999</v>
      </c>
      <c r="G18" s="187">
        <v>0</v>
      </c>
      <c r="H18" s="187">
        <v>0</v>
      </c>
      <c r="I18" s="187">
        <v>53</v>
      </c>
      <c r="J18" s="352">
        <v>3407716.55</v>
      </c>
      <c r="K18" s="187">
        <v>33</v>
      </c>
      <c r="L18" s="187">
        <v>32</v>
      </c>
      <c r="M18" s="71">
        <v>1454495.8400000003</v>
      </c>
      <c r="N18" s="187">
        <v>11</v>
      </c>
      <c r="O18" s="81">
        <v>832752.08</v>
      </c>
      <c r="P18" s="58">
        <f>J18-M18</f>
        <v>1953220.7099999995</v>
      </c>
      <c r="Q18" s="58">
        <v>0</v>
      </c>
      <c r="R18" s="187">
        <v>13</v>
      </c>
      <c r="S18" s="70">
        <v>401228.99000000005</v>
      </c>
      <c r="T18" s="187">
        <v>12</v>
      </c>
      <c r="U18" s="81">
        <v>378724.67000000004</v>
      </c>
      <c r="V18" s="187">
        <v>11</v>
      </c>
      <c r="W18" s="81">
        <v>336602.04000000004</v>
      </c>
      <c r="X18" s="187">
        <v>0</v>
      </c>
      <c r="Y18" s="187">
        <v>0</v>
      </c>
      <c r="Z18" s="187">
        <v>1</v>
      </c>
      <c r="AA18" s="187">
        <v>42122.63</v>
      </c>
    </row>
    <row r="19" spans="1:28" x14ac:dyDescent="0.2">
      <c r="A19" s="19" t="s">
        <v>187</v>
      </c>
      <c r="B19" s="59"/>
      <c r="C19" s="20">
        <f>SUM(C16:C18)</f>
        <v>11750000</v>
      </c>
      <c r="D19" s="20"/>
      <c r="E19" s="20">
        <f t="shared" ref="E19:Z19" si="1">SUM(E16:E18)</f>
        <v>711</v>
      </c>
      <c r="F19" s="20">
        <f t="shared" si="1"/>
        <v>58246310.670000002</v>
      </c>
      <c r="G19" s="20">
        <f t="shared" si="1"/>
        <v>1</v>
      </c>
      <c r="H19" s="20">
        <f t="shared" si="1"/>
        <v>47122.83</v>
      </c>
      <c r="I19" s="20">
        <f t="shared" si="1"/>
        <v>138</v>
      </c>
      <c r="J19" s="20">
        <f t="shared" si="1"/>
        <v>8733871.2899999991</v>
      </c>
      <c r="K19" s="20">
        <f t="shared" si="1"/>
        <v>118</v>
      </c>
      <c r="L19" s="20">
        <f t="shared" si="1"/>
        <v>117</v>
      </c>
      <c r="M19" s="20">
        <f t="shared" si="1"/>
        <v>6780650.5800000001</v>
      </c>
      <c r="N19" s="20">
        <f t="shared" si="1"/>
        <v>60</v>
      </c>
      <c r="O19" s="20">
        <f t="shared" si="1"/>
        <v>2879581.42</v>
      </c>
      <c r="P19" s="20">
        <f t="shared" si="1"/>
        <v>1953220.7099999995</v>
      </c>
      <c r="Q19" s="20">
        <f t="shared" si="1"/>
        <v>1423845.26</v>
      </c>
      <c r="R19" s="20">
        <f t="shared" si="1"/>
        <v>104</v>
      </c>
      <c r="S19" s="20">
        <f t="shared" si="1"/>
        <v>4441644.7300000004</v>
      </c>
      <c r="T19" s="20">
        <f t="shared" si="1"/>
        <v>84</v>
      </c>
      <c r="U19" s="20">
        <f>SUM(U16:U18)-61385.61</f>
        <v>3378629.81</v>
      </c>
      <c r="V19" s="20">
        <f t="shared" si="1"/>
        <v>22</v>
      </c>
      <c r="W19" s="20">
        <f>SUM(W16:W18)-61385.61</f>
        <v>780566.54</v>
      </c>
      <c r="X19" s="20">
        <f t="shared" si="1"/>
        <v>0</v>
      </c>
      <c r="Y19" s="20">
        <f t="shared" si="1"/>
        <v>0</v>
      </c>
      <c r="Z19" s="20">
        <f t="shared" si="1"/>
        <v>46</v>
      </c>
      <c r="AA19" s="20">
        <f>SUM(AA16:AA18)</f>
        <v>2598063.2700000005</v>
      </c>
    </row>
    <row r="20" spans="1:28" customFormat="1" ht="15" customHeight="1" x14ac:dyDescent="0.25">
      <c r="A20" s="155" t="s">
        <v>390</v>
      </c>
      <c r="B20" s="134"/>
      <c r="C20" s="134"/>
      <c r="D20" s="134"/>
      <c r="E20" s="134"/>
      <c r="F20" s="134"/>
      <c r="G20" s="134"/>
      <c r="H20" s="134"/>
      <c r="I20" s="134"/>
      <c r="J20" s="134"/>
      <c r="K20" s="134"/>
      <c r="L20" s="134"/>
      <c r="M20" s="134"/>
      <c r="N20" s="134"/>
      <c r="O20" s="134"/>
      <c r="P20" s="134"/>
      <c r="Q20" s="134"/>
      <c r="R20" s="134"/>
      <c r="S20" s="134"/>
    </row>
    <row r="21" spans="1:28" s="126" customFormat="1" ht="12.6" customHeight="1" x14ac:dyDescent="0.2">
      <c r="A21" s="976" t="s">
        <v>723</v>
      </c>
      <c r="B21" s="976"/>
      <c r="C21" s="976"/>
      <c r="D21" s="976"/>
      <c r="E21" s="976"/>
      <c r="F21" s="976"/>
      <c r="G21" s="976"/>
      <c r="H21" s="976"/>
      <c r="I21" s="976"/>
      <c r="J21" s="976"/>
      <c r="K21" s="976"/>
      <c r="L21" s="976"/>
      <c r="M21" s="976"/>
      <c r="N21" s="976"/>
      <c r="O21" s="976"/>
      <c r="P21" s="976"/>
      <c r="Q21" s="976"/>
      <c r="R21" s="976"/>
      <c r="S21" s="976"/>
      <c r="T21" s="976"/>
      <c r="U21" s="976"/>
      <c r="V21" s="976"/>
      <c r="W21" s="976"/>
      <c r="X21" s="976"/>
      <c r="Y21" s="976"/>
      <c r="Z21" s="976"/>
      <c r="AA21" s="976"/>
    </row>
    <row r="22" spans="1:28" s="23" customFormat="1" ht="14.45" customHeight="1" x14ac:dyDescent="0.25">
      <c r="A22" s="935" t="s">
        <v>744</v>
      </c>
      <c r="B22" s="935"/>
      <c r="C22" s="935"/>
      <c r="D22" s="935"/>
      <c r="E22" s="935"/>
      <c r="F22" s="935"/>
      <c r="G22" s="935"/>
      <c r="H22" s="935"/>
      <c r="I22" s="935"/>
      <c r="J22" s="935"/>
      <c r="K22" s="935"/>
      <c r="L22" s="935"/>
      <c r="M22" s="935"/>
      <c r="N22" s="935"/>
      <c r="O22" s="935"/>
      <c r="P22" s="935"/>
      <c r="Q22" s="935"/>
      <c r="R22" s="935"/>
      <c r="S22" s="935"/>
      <c r="T22" s="935"/>
      <c r="U22" s="935"/>
      <c r="V22" s="935"/>
      <c r="W22" s="935"/>
      <c r="X22" s="935"/>
      <c r="Y22" s="935"/>
      <c r="Z22" s="935"/>
      <c r="AA22" s="935"/>
    </row>
    <row r="23" spans="1:28" ht="6.75" customHeight="1" x14ac:dyDescent="0.2"/>
    <row r="25" spans="1:28" x14ac:dyDescent="0.2">
      <c r="E25" s="152"/>
      <c r="I25" s="152"/>
    </row>
  </sheetData>
  <mergeCells count="46">
    <mergeCell ref="A21:AA21"/>
    <mergeCell ref="Q6:Q7"/>
    <mergeCell ref="A1:U1"/>
    <mergeCell ref="A2:A5"/>
    <mergeCell ref="C2:C5"/>
    <mergeCell ref="D2:D5"/>
    <mergeCell ref="E2:F4"/>
    <mergeCell ref="I2:J4"/>
    <mergeCell ref="R2:S4"/>
    <mergeCell ref="T2:U4"/>
    <mergeCell ref="K3:M3"/>
    <mergeCell ref="N3:O4"/>
    <mergeCell ref="K4:K5"/>
    <mergeCell ref="L4:M4"/>
    <mergeCell ref="Q2:Q4"/>
    <mergeCell ref="G2:H4"/>
    <mergeCell ref="A11:U11"/>
    <mergeCell ref="R12:S14"/>
    <mergeCell ref="T12:U14"/>
    <mergeCell ref="K13:M13"/>
    <mergeCell ref="N13:O14"/>
    <mergeCell ref="Q12:Q14"/>
    <mergeCell ref="K12:O12"/>
    <mergeCell ref="A12:A15"/>
    <mergeCell ref="I12:J14"/>
    <mergeCell ref="B12:B15"/>
    <mergeCell ref="C12:C15"/>
    <mergeCell ref="D12:D15"/>
    <mergeCell ref="G12:H14"/>
    <mergeCell ref="E12:F14"/>
    <mergeCell ref="A22:AA22"/>
    <mergeCell ref="V14:W14"/>
    <mergeCell ref="X14:Y14"/>
    <mergeCell ref="Z14:AA14"/>
    <mergeCell ref="V2:AA3"/>
    <mergeCell ref="V4:W4"/>
    <mergeCell ref="X4:Y4"/>
    <mergeCell ref="Z4:AA4"/>
    <mergeCell ref="V12:AA13"/>
    <mergeCell ref="A9:K9"/>
    <mergeCell ref="K14:K15"/>
    <mergeCell ref="L14:M14"/>
    <mergeCell ref="B2:B5"/>
    <mergeCell ref="K2:O2"/>
    <mergeCell ref="P2:P4"/>
    <mergeCell ref="P12:P14"/>
  </mergeCells>
  <pageMargins left="0.51181102362204722" right="0.51181102362204722" top="0.74803149606299213" bottom="0.74803149606299213" header="0.31496062992125984" footer="0.31496062992125984"/>
  <pageSetup paperSize="9" scale="7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34"/>
  <sheetViews>
    <sheetView view="pageBreakPreview" zoomScaleNormal="100" zoomScaleSheetLayoutView="100" workbookViewId="0">
      <selection activeCell="M7" sqref="M7"/>
    </sheetView>
  </sheetViews>
  <sheetFormatPr defaultColWidth="8.7109375" defaultRowHeight="15" x14ac:dyDescent="0.25"/>
  <cols>
    <col min="1" max="1" width="11.140625" customWidth="1"/>
    <col min="2" max="2" width="6.28515625" customWidth="1"/>
    <col min="3" max="3" width="9.5703125" customWidth="1"/>
    <col min="5" max="5" width="4.85546875" bestFit="1" customWidth="1"/>
    <col min="6" max="6" width="10" customWidth="1"/>
    <col min="7" max="7" width="3.140625" bestFit="1" customWidth="1"/>
    <col min="8" max="8" width="7.28515625" customWidth="1"/>
    <col min="9" max="9" width="4.140625" customWidth="1"/>
    <col min="10" max="10" width="9.28515625" customWidth="1"/>
    <col min="11" max="11" width="4.85546875" bestFit="1" customWidth="1"/>
    <col min="12" max="12" width="7.28515625" bestFit="1" customWidth="1"/>
    <col min="13" max="13" width="10.85546875" customWidth="1"/>
    <col min="14" max="14" width="3.7109375" bestFit="1" customWidth="1"/>
    <col min="15" max="15" width="9.28515625" bestFit="1" customWidth="1"/>
    <col min="16" max="16" width="10.140625" customWidth="1"/>
    <col min="17" max="17" width="10" customWidth="1"/>
    <col min="18" max="18" width="4.28515625" customWidth="1"/>
    <col min="19" max="19" width="9.85546875" customWidth="1"/>
    <col min="20" max="20" width="4.7109375" bestFit="1" customWidth="1"/>
    <col min="21" max="21" width="11.140625" bestFit="1" customWidth="1"/>
    <col min="22" max="22" width="4.85546875" customWidth="1"/>
    <col min="23" max="23" width="8.28515625" customWidth="1"/>
    <col min="24" max="24" width="5.140625" customWidth="1"/>
    <col min="25" max="25" width="11.140625" customWidth="1"/>
    <col min="26" max="26" width="5.28515625" customWidth="1"/>
    <col min="27" max="27" width="11.5703125" customWidth="1"/>
    <col min="29" max="29" width="10" bestFit="1" customWidth="1"/>
  </cols>
  <sheetData>
    <row r="1" spans="1:29" x14ac:dyDescent="0.25">
      <c r="A1" s="14" t="s">
        <v>188</v>
      </c>
      <c r="B1" s="14"/>
    </row>
    <row r="2" spans="1:29" s="12" customFormat="1" ht="28.9" customHeight="1" x14ac:dyDescent="0.2">
      <c r="A2" s="943" t="s">
        <v>156</v>
      </c>
      <c r="B2" s="943" t="s">
        <v>282</v>
      </c>
      <c r="C2" s="943" t="s">
        <v>157</v>
      </c>
      <c r="D2" s="943" t="s">
        <v>158</v>
      </c>
      <c r="E2" s="937" t="s">
        <v>337</v>
      </c>
      <c r="F2" s="938"/>
      <c r="G2" s="937" t="s">
        <v>277</v>
      </c>
      <c r="H2" s="938"/>
      <c r="I2" s="937" t="s">
        <v>159</v>
      </c>
      <c r="J2" s="938"/>
      <c r="K2" s="947" t="s">
        <v>752</v>
      </c>
      <c r="L2" s="948"/>
      <c r="M2" s="948"/>
      <c r="N2" s="948"/>
      <c r="O2" s="949"/>
      <c r="P2" s="943" t="s">
        <v>250</v>
      </c>
      <c r="Q2" s="943" t="s">
        <v>625</v>
      </c>
      <c r="R2" s="937" t="s">
        <v>750</v>
      </c>
      <c r="S2" s="938"/>
      <c r="T2" s="937" t="s">
        <v>751</v>
      </c>
      <c r="U2" s="938"/>
      <c r="V2" s="936" t="s">
        <v>751</v>
      </c>
      <c r="W2" s="936"/>
      <c r="X2" s="936"/>
      <c r="Y2" s="936"/>
      <c r="Z2" s="936"/>
      <c r="AA2" s="936"/>
    </row>
    <row r="3" spans="1:29"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9"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9"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9" s="23" customFormat="1" ht="27" customHeight="1" x14ac:dyDescent="0.25">
      <c r="A6" s="3" t="s">
        <v>189</v>
      </c>
      <c r="B6" s="3">
        <v>1931</v>
      </c>
      <c r="C6" s="32">
        <v>48580000</v>
      </c>
      <c r="D6" s="31">
        <v>42839</v>
      </c>
      <c r="E6" s="25">
        <v>1599</v>
      </c>
      <c r="F6" s="159">
        <v>56020000</v>
      </c>
      <c r="G6" s="159">
        <v>44</v>
      </c>
      <c r="H6" s="159">
        <v>1595000</v>
      </c>
      <c r="I6" s="299">
        <v>1191</v>
      </c>
      <c r="J6" s="11">
        <f>I6*35000</f>
        <v>41685000</v>
      </c>
      <c r="K6" s="310">
        <v>1184</v>
      </c>
      <c r="L6" s="577">
        <v>1184</v>
      </c>
      <c r="M6" s="573">
        <v>41440000</v>
      </c>
      <c r="N6" s="572">
        <f>295+66</f>
        <v>361</v>
      </c>
      <c r="O6" s="574">
        <f>10325000-2310000</f>
        <v>8015000</v>
      </c>
      <c r="P6" s="226">
        <f>J6-M6</f>
        <v>245000</v>
      </c>
      <c r="Q6" s="58">
        <f>C6-J6</f>
        <v>6895000</v>
      </c>
      <c r="R6" s="299">
        <v>2215</v>
      </c>
      <c r="S6" s="11">
        <v>40400500</v>
      </c>
      <c r="T6" s="369">
        <v>2148</v>
      </c>
      <c r="U6" s="353">
        <v>39382000</v>
      </c>
      <c r="V6" s="338">
        <v>0</v>
      </c>
      <c r="W6" s="338">
        <v>0</v>
      </c>
      <c r="X6" s="338">
        <v>253</v>
      </c>
      <c r="Y6" s="338">
        <v>6198500</v>
      </c>
      <c r="Z6" s="338">
        <v>945</v>
      </c>
      <c r="AA6" s="338">
        <v>33183500</v>
      </c>
      <c r="AB6" s="12"/>
      <c r="AC6" s="12"/>
    </row>
    <row r="7" spans="1:29" s="23" customFormat="1" ht="20.45" customHeight="1" x14ac:dyDescent="0.25">
      <c r="A7" s="138" t="s">
        <v>89</v>
      </c>
      <c r="B7" s="138">
        <v>2302</v>
      </c>
      <c r="C7" s="352">
        <v>24100000</v>
      </c>
      <c r="D7" s="518">
        <v>42839</v>
      </c>
      <c r="E7" s="519">
        <v>1191</v>
      </c>
      <c r="F7" s="82">
        <v>59550000</v>
      </c>
      <c r="G7" s="82">
        <v>11</v>
      </c>
      <c r="H7" s="82">
        <v>550000</v>
      </c>
      <c r="I7" s="738">
        <f>K7+11</f>
        <v>608</v>
      </c>
      <c r="J7" s="578">
        <f>I7*50000</f>
        <v>30400000</v>
      </c>
      <c r="K7" s="579">
        <v>597</v>
      </c>
      <c r="L7" s="579">
        <v>597</v>
      </c>
      <c r="M7" s="573">
        <v>29850000</v>
      </c>
      <c r="N7" s="572">
        <v>117</v>
      </c>
      <c r="O7" s="574">
        <v>5850000</v>
      </c>
      <c r="P7" s="226">
        <f>J7-M7</f>
        <v>550000</v>
      </c>
      <c r="Q7" s="58">
        <v>0</v>
      </c>
      <c r="R7" s="299">
        <v>1105</v>
      </c>
      <c r="S7" s="11">
        <v>28895000</v>
      </c>
      <c r="T7" s="370">
        <v>1060</v>
      </c>
      <c r="U7" s="353">
        <v>27918500</v>
      </c>
      <c r="V7" s="338">
        <v>0</v>
      </c>
      <c r="W7" s="338">
        <v>0</v>
      </c>
      <c r="X7" s="338">
        <v>140</v>
      </c>
      <c r="Y7" s="338">
        <v>4900000</v>
      </c>
      <c r="Z7" s="338">
        <v>459</v>
      </c>
      <c r="AA7" s="338">
        <v>23018500</v>
      </c>
      <c r="AB7" s="12"/>
      <c r="AC7" s="12"/>
    </row>
    <row r="8" spans="1:29" s="23" customFormat="1" ht="23.45" customHeight="1" x14ac:dyDescent="0.25">
      <c r="A8" s="3" t="s">
        <v>485</v>
      </c>
      <c r="B8" s="57">
        <v>64281</v>
      </c>
      <c r="C8" s="159">
        <v>28000000</v>
      </c>
      <c r="D8" s="106">
        <v>44718</v>
      </c>
      <c r="E8" s="179">
        <v>1030</v>
      </c>
      <c r="F8" s="179">
        <v>36030000</v>
      </c>
      <c r="G8" s="179">
        <v>11</v>
      </c>
      <c r="H8" s="179">
        <v>365000</v>
      </c>
      <c r="I8" s="179">
        <v>798</v>
      </c>
      <c r="J8" s="578">
        <f>I8*35000</f>
        <v>27930000</v>
      </c>
      <c r="K8" s="34">
        <v>793</v>
      </c>
      <c r="L8" s="34">
        <v>791</v>
      </c>
      <c r="M8" s="11">
        <f>L8*35000</f>
        <v>27685000</v>
      </c>
      <c r="N8" s="572">
        <f>176+48</f>
        <v>224</v>
      </c>
      <c r="O8" s="574">
        <f>6160000+1645000</f>
        <v>7805000</v>
      </c>
      <c r="P8" s="226">
        <f>J8-M8</f>
        <v>245000</v>
      </c>
      <c r="Q8" s="58">
        <v>0</v>
      </c>
      <c r="R8" s="299">
        <v>1022</v>
      </c>
      <c r="S8" s="11">
        <v>21777000</v>
      </c>
      <c r="T8" s="370">
        <v>903</v>
      </c>
      <c r="U8" s="353">
        <f>19827500-98141.4</f>
        <v>19729358.600000001</v>
      </c>
      <c r="V8" s="338">
        <v>0</v>
      </c>
      <c r="W8" s="338">
        <v>0</v>
      </c>
      <c r="X8" s="338">
        <v>574</v>
      </c>
      <c r="Y8" s="274">
        <f>14087500-98141.4</f>
        <v>13989358.6</v>
      </c>
      <c r="Z8" s="338">
        <v>164</v>
      </c>
      <c r="AA8" s="338">
        <v>5740000</v>
      </c>
      <c r="AB8" s="12"/>
      <c r="AC8" s="12"/>
    </row>
    <row r="9" spans="1:29" x14ac:dyDescent="0.25">
      <c r="A9" s="19" t="s">
        <v>190</v>
      </c>
      <c r="B9" s="59"/>
      <c r="C9" s="20">
        <f>SUM(C6:C8)</f>
        <v>100680000</v>
      </c>
      <c r="D9" s="20"/>
      <c r="E9" s="20">
        <f t="shared" ref="E9:T9" si="0">SUM(E6:E8)</f>
        <v>3820</v>
      </c>
      <c r="F9" s="20">
        <f t="shared" si="0"/>
        <v>151600000</v>
      </c>
      <c r="G9" s="20">
        <f t="shared" si="0"/>
        <v>66</v>
      </c>
      <c r="H9" s="20">
        <f t="shared" si="0"/>
        <v>2510000</v>
      </c>
      <c r="I9" s="20">
        <f t="shared" si="0"/>
        <v>2597</v>
      </c>
      <c r="J9" s="20">
        <f t="shared" si="0"/>
        <v>100015000</v>
      </c>
      <c r="K9" s="20">
        <f t="shared" si="0"/>
        <v>2574</v>
      </c>
      <c r="L9" s="20">
        <f t="shared" si="0"/>
        <v>2572</v>
      </c>
      <c r="M9" s="20">
        <f t="shared" si="0"/>
        <v>98975000</v>
      </c>
      <c r="N9" s="20">
        <f t="shared" si="0"/>
        <v>702</v>
      </c>
      <c r="O9" s="20">
        <f t="shared" si="0"/>
        <v>21670000</v>
      </c>
      <c r="P9" s="20">
        <f t="shared" si="0"/>
        <v>1040000</v>
      </c>
      <c r="Q9" s="20">
        <f t="shared" si="0"/>
        <v>6895000</v>
      </c>
      <c r="R9" s="20">
        <f t="shared" si="0"/>
        <v>4342</v>
      </c>
      <c r="S9" s="20">
        <f t="shared" si="0"/>
        <v>91072500</v>
      </c>
      <c r="T9" s="20">
        <f t="shared" si="0"/>
        <v>4111</v>
      </c>
      <c r="U9" s="20">
        <f>SUM(U6:U8)-1194487.65</f>
        <v>85835370.949999988</v>
      </c>
      <c r="V9" s="20">
        <f>SUM(V6:V8)</f>
        <v>0</v>
      </c>
      <c r="W9" s="20">
        <f>SUM(W6:W8)</f>
        <v>0</v>
      </c>
      <c r="X9" s="20">
        <f>SUM(X6:X8)</f>
        <v>967</v>
      </c>
      <c r="Y9" s="20">
        <f>SUM(Y6:Y8)-1194487.65</f>
        <v>23893370.950000003</v>
      </c>
      <c r="Z9" s="20">
        <f>SUM(Z6:Z8)</f>
        <v>1568</v>
      </c>
      <c r="AA9" s="20">
        <f>SUM(AA6:AA8)</f>
        <v>61942000</v>
      </c>
      <c r="AB9" s="12"/>
      <c r="AC9" s="12"/>
    </row>
    <row r="10" spans="1:29" ht="11.45" customHeight="1" x14ac:dyDescent="0.25">
      <c r="A10" s="155" t="s">
        <v>727</v>
      </c>
      <c r="B10" s="134"/>
      <c r="C10" s="134"/>
      <c r="D10" s="134"/>
      <c r="E10" s="134"/>
      <c r="F10" s="134"/>
      <c r="G10" s="134"/>
      <c r="H10" s="134"/>
      <c r="I10" s="134"/>
      <c r="J10" s="134"/>
      <c r="K10" s="134"/>
      <c r="L10" s="134"/>
      <c r="M10" s="134"/>
      <c r="N10" s="134"/>
      <c r="O10" s="134"/>
      <c r="P10" s="384"/>
      <c r="Q10" s="384"/>
      <c r="R10" s="134"/>
      <c r="S10" s="384"/>
      <c r="T10" s="134"/>
      <c r="U10" s="134"/>
      <c r="AB10" s="12"/>
      <c r="AC10" s="12"/>
    </row>
    <row r="11" spans="1:29" ht="6" customHeight="1" x14ac:dyDescent="0.25">
      <c r="A11" s="155"/>
      <c r="B11" s="134"/>
      <c r="C11" s="134"/>
      <c r="D11" s="134"/>
      <c r="E11" s="134"/>
      <c r="F11" s="134"/>
      <c r="G11" s="134"/>
      <c r="H11" s="134"/>
      <c r="I11" s="134"/>
      <c r="J11" s="134"/>
      <c r="K11" s="134"/>
      <c r="L11" s="134"/>
      <c r="M11" s="134"/>
      <c r="N11" s="134"/>
      <c r="O11" s="134"/>
      <c r="P11" s="384"/>
      <c r="Q11" s="384"/>
      <c r="R11" s="134"/>
      <c r="S11" s="384"/>
      <c r="T11" s="134"/>
      <c r="U11" s="134"/>
      <c r="AB11" s="12"/>
      <c r="AC11" s="12"/>
    </row>
    <row r="12" spans="1:29" x14ac:dyDescent="0.25">
      <c r="A12" s="14" t="s">
        <v>191</v>
      </c>
      <c r="B12" s="14"/>
      <c r="AB12" s="12"/>
      <c r="AC12" s="12"/>
    </row>
    <row r="13" spans="1:29" s="12" customFormat="1" ht="28.9" customHeight="1" x14ac:dyDescent="0.2">
      <c r="A13" s="943" t="s">
        <v>156</v>
      </c>
      <c r="B13" s="943" t="s">
        <v>282</v>
      </c>
      <c r="C13" s="943" t="s">
        <v>157</v>
      </c>
      <c r="D13" s="943" t="s">
        <v>158</v>
      </c>
      <c r="E13" s="937" t="s">
        <v>337</v>
      </c>
      <c r="F13" s="938"/>
      <c r="G13" s="937" t="s">
        <v>277</v>
      </c>
      <c r="H13" s="938"/>
      <c r="I13" s="937" t="s">
        <v>159</v>
      </c>
      <c r="J13" s="938"/>
      <c r="K13" s="947" t="s">
        <v>749</v>
      </c>
      <c r="L13" s="948"/>
      <c r="M13" s="948"/>
      <c r="N13" s="948"/>
      <c r="O13" s="949"/>
      <c r="P13" s="943" t="s">
        <v>250</v>
      </c>
      <c r="Q13" s="943" t="s">
        <v>625</v>
      </c>
      <c r="R13" s="937" t="s">
        <v>750</v>
      </c>
      <c r="S13" s="938"/>
      <c r="T13" s="937" t="s">
        <v>751</v>
      </c>
      <c r="U13" s="938"/>
      <c r="V13" s="936" t="s">
        <v>751</v>
      </c>
      <c r="W13" s="936"/>
      <c r="X13" s="936"/>
      <c r="Y13" s="936"/>
      <c r="Z13" s="936"/>
      <c r="AA13" s="936"/>
    </row>
    <row r="14" spans="1:29" s="12" customFormat="1" ht="14.45" customHeight="1" x14ac:dyDescent="0.2">
      <c r="A14" s="944"/>
      <c r="B14" s="944"/>
      <c r="C14" s="944"/>
      <c r="D14" s="944"/>
      <c r="E14" s="939"/>
      <c r="F14" s="940"/>
      <c r="G14" s="939"/>
      <c r="H14" s="940"/>
      <c r="I14" s="939"/>
      <c r="J14" s="940"/>
      <c r="K14" s="947" t="s">
        <v>160</v>
      </c>
      <c r="L14" s="948"/>
      <c r="M14" s="949"/>
      <c r="N14" s="937" t="s">
        <v>626</v>
      </c>
      <c r="O14" s="938"/>
      <c r="P14" s="944"/>
      <c r="Q14" s="944"/>
      <c r="R14" s="939"/>
      <c r="S14" s="940"/>
      <c r="T14" s="939"/>
      <c r="U14" s="940"/>
      <c r="V14" s="936"/>
      <c r="W14" s="936"/>
      <c r="X14" s="936"/>
      <c r="Y14" s="936"/>
      <c r="Z14" s="936"/>
      <c r="AA14" s="936"/>
    </row>
    <row r="15" spans="1:29" s="12" customFormat="1" ht="20.25" customHeight="1" x14ac:dyDescent="0.2">
      <c r="A15" s="944"/>
      <c r="B15" s="944"/>
      <c r="C15" s="944"/>
      <c r="D15" s="944"/>
      <c r="E15" s="941"/>
      <c r="F15" s="942"/>
      <c r="G15" s="941"/>
      <c r="H15" s="942"/>
      <c r="I15" s="941"/>
      <c r="J15" s="942"/>
      <c r="K15" s="950" t="s">
        <v>161</v>
      </c>
      <c r="L15" s="947" t="s">
        <v>247</v>
      </c>
      <c r="M15" s="949"/>
      <c r="N15" s="941"/>
      <c r="O15" s="942"/>
      <c r="P15" s="946"/>
      <c r="Q15" s="946"/>
      <c r="R15" s="941"/>
      <c r="S15" s="942"/>
      <c r="T15" s="941"/>
      <c r="U15" s="942"/>
      <c r="V15" s="936" t="s">
        <v>584</v>
      </c>
      <c r="W15" s="936"/>
      <c r="X15" s="936" t="s">
        <v>585</v>
      </c>
      <c r="Y15" s="936"/>
      <c r="Z15" s="936" t="s">
        <v>586</v>
      </c>
      <c r="AA15" s="936"/>
    </row>
    <row r="16" spans="1:29" s="12" customFormat="1" ht="21" x14ac:dyDescent="0.2">
      <c r="A16" s="945"/>
      <c r="B16" s="945"/>
      <c r="C16" s="945"/>
      <c r="D16" s="945"/>
      <c r="E16" s="154" t="s">
        <v>161</v>
      </c>
      <c r="F16" s="125" t="s">
        <v>162</v>
      </c>
      <c r="G16" s="15" t="s">
        <v>161</v>
      </c>
      <c r="H16" s="16" t="s">
        <v>162</v>
      </c>
      <c r="I16" s="154" t="s">
        <v>161</v>
      </c>
      <c r="J16" s="125" t="s">
        <v>162</v>
      </c>
      <c r="K16" s="951"/>
      <c r="L16" s="154" t="s">
        <v>161</v>
      </c>
      <c r="M16" s="125" t="s">
        <v>162</v>
      </c>
      <c r="N16" s="154" t="s">
        <v>161</v>
      </c>
      <c r="O16" s="125" t="s">
        <v>162</v>
      </c>
      <c r="P16" s="16" t="s">
        <v>162</v>
      </c>
      <c r="Q16" s="16" t="s">
        <v>162</v>
      </c>
      <c r="R16" s="15" t="s">
        <v>161</v>
      </c>
      <c r="S16" s="16" t="s">
        <v>162</v>
      </c>
      <c r="T16" s="77" t="s">
        <v>161</v>
      </c>
      <c r="U16" s="78" t="s">
        <v>162</v>
      </c>
      <c r="V16" s="218" t="s">
        <v>161</v>
      </c>
      <c r="W16" s="209" t="s">
        <v>162</v>
      </c>
      <c r="X16" s="218" t="s">
        <v>161</v>
      </c>
      <c r="Y16" s="209" t="s">
        <v>162</v>
      </c>
      <c r="Z16" s="218" t="s">
        <v>161</v>
      </c>
      <c r="AA16" s="209" t="s">
        <v>162</v>
      </c>
    </row>
    <row r="17" spans="1:29" s="23" customFormat="1" ht="33.75" x14ac:dyDescent="0.25">
      <c r="A17" s="3" t="s">
        <v>192</v>
      </c>
      <c r="B17" s="3">
        <v>7423</v>
      </c>
      <c r="C17" s="378">
        <v>6500000</v>
      </c>
      <c r="D17" s="31">
        <v>43035</v>
      </c>
      <c r="E17" s="25">
        <v>345</v>
      </c>
      <c r="F17" s="159">
        <v>17229270.949999999</v>
      </c>
      <c r="G17" s="159">
        <v>2</v>
      </c>
      <c r="H17" s="159">
        <v>100000</v>
      </c>
      <c r="I17" s="34">
        <v>127</v>
      </c>
      <c r="J17" s="378">
        <v>6350000</v>
      </c>
      <c r="K17" s="216">
        <f>167-40</f>
        <v>127</v>
      </c>
      <c r="L17" s="216">
        <f>167-40</f>
        <v>127</v>
      </c>
      <c r="M17" s="378">
        <f>8350000-2000000</f>
        <v>6350000</v>
      </c>
      <c r="N17" s="58">
        <f>166+40</f>
        <v>206</v>
      </c>
      <c r="O17" s="159">
        <f>8286648+2000000</f>
        <v>10286648</v>
      </c>
      <c r="P17" s="226">
        <f>J17-M17</f>
        <v>0</v>
      </c>
      <c r="Q17" s="58">
        <v>0</v>
      </c>
      <c r="R17" s="299">
        <v>224</v>
      </c>
      <c r="S17" s="11">
        <v>5900000</v>
      </c>
      <c r="T17" s="34">
        <v>204</v>
      </c>
      <c r="U17" s="11">
        <v>5480000</v>
      </c>
      <c r="V17" s="338">
        <v>0</v>
      </c>
      <c r="W17" s="338">
        <v>0</v>
      </c>
      <c r="X17" s="299">
        <v>37</v>
      </c>
      <c r="Y17" s="11">
        <v>1295000</v>
      </c>
      <c r="Z17" s="299">
        <v>83</v>
      </c>
      <c r="AA17" s="11">
        <v>4185000</v>
      </c>
      <c r="AB17" s="12"/>
      <c r="AC17" s="12"/>
    </row>
    <row r="18" spans="1:29" x14ac:dyDescent="0.25">
      <c r="A18" s="19" t="s">
        <v>193</v>
      </c>
      <c r="B18" s="59"/>
      <c r="C18" s="20">
        <f>SUM(C17:C17)</f>
        <v>6500000</v>
      </c>
      <c r="D18" s="20"/>
      <c r="E18" s="20">
        <f t="shared" ref="E18:T18" si="1">SUM(E17:E17)</f>
        <v>345</v>
      </c>
      <c r="F18" s="60">
        <f t="shared" si="1"/>
        <v>17229270.949999999</v>
      </c>
      <c r="G18" s="60">
        <f t="shared" si="1"/>
        <v>2</v>
      </c>
      <c r="H18" s="60">
        <f t="shared" si="1"/>
        <v>100000</v>
      </c>
      <c r="I18" s="60">
        <f t="shared" si="1"/>
        <v>127</v>
      </c>
      <c r="J18" s="20">
        <f t="shared" si="1"/>
        <v>6350000</v>
      </c>
      <c r="K18" s="20">
        <f t="shared" si="1"/>
        <v>127</v>
      </c>
      <c r="L18" s="20">
        <f t="shared" si="1"/>
        <v>127</v>
      </c>
      <c r="M18" s="20">
        <f t="shared" si="1"/>
        <v>6350000</v>
      </c>
      <c r="N18" s="20">
        <f t="shared" si="1"/>
        <v>206</v>
      </c>
      <c r="O18" s="20">
        <f t="shared" si="1"/>
        <v>10286648</v>
      </c>
      <c r="P18" s="20">
        <f t="shared" si="1"/>
        <v>0</v>
      </c>
      <c r="Q18" s="20">
        <f t="shared" si="1"/>
        <v>0</v>
      </c>
      <c r="R18" s="20">
        <f t="shared" si="1"/>
        <v>224</v>
      </c>
      <c r="S18" s="20">
        <f t="shared" si="1"/>
        <v>5900000</v>
      </c>
      <c r="T18" s="20">
        <f t="shared" si="1"/>
        <v>204</v>
      </c>
      <c r="U18" s="20">
        <f>SUM(U17:U17)-190660.21</f>
        <v>5289339.79</v>
      </c>
      <c r="V18" s="20">
        <f>SUM(V17:V17)</f>
        <v>0</v>
      </c>
      <c r="W18" s="20">
        <f t="shared" ref="W18:Z18" si="2">SUM(W17:W17)</f>
        <v>0</v>
      </c>
      <c r="X18" s="20">
        <f t="shared" si="2"/>
        <v>37</v>
      </c>
      <c r="Y18" s="20">
        <f>SUM(Y17:Y17)-190660.21</f>
        <v>1104339.79</v>
      </c>
      <c r="Z18" s="20">
        <f t="shared" si="2"/>
        <v>83</v>
      </c>
      <c r="AA18" s="20">
        <f>SUM(AA17:AA17)</f>
        <v>4185000</v>
      </c>
      <c r="AB18" s="12"/>
      <c r="AC18" s="12"/>
    </row>
    <row r="19" spans="1:29" ht="12" customHeight="1" x14ac:dyDescent="0.25">
      <c r="A19" s="92" t="s">
        <v>617</v>
      </c>
      <c r="U19" s="50"/>
      <c r="AB19" s="12"/>
      <c r="AC19" s="12"/>
    </row>
    <row r="20" spans="1:29" ht="11.45" customHeight="1" x14ac:dyDescent="0.25">
      <c r="A20" s="92"/>
      <c r="O20" s="304"/>
      <c r="U20" s="50"/>
      <c r="AB20" s="12"/>
      <c r="AC20" s="12"/>
    </row>
    <row r="21" spans="1:29" ht="12.6" customHeight="1" x14ac:dyDescent="0.25">
      <c r="A21" s="14" t="s">
        <v>621</v>
      </c>
      <c r="B21" s="14"/>
      <c r="AB21" s="12"/>
      <c r="AC21" s="12"/>
    </row>
    <row r="22" spans="1:29" s="12" customFormat="1" ht="28.9" customHeight="1" x14ac:dyDescent="0.2">
      <c r="A22" s="943" t="s">
        <v>156</v>
      </c>
      <c r="B22" s="943" t="s">
        <v>282</v>
      </c>
      <c r="C22" s="943" t="s">
        <v>157</v>
      </c>
      <c r="D22" s="943" t="s">
        <v>158</v>
      </c>
      <c r="E22" s="937" t="s">
        <v>337</v>
      </c>
      <c r="F22" s="938"/>
      <c r="G22" s="937" t="s">
        <v>277</v>
      </c>
      <c r="H22" s="938"/>
      <c r="I22" s="937" t="s">
        <v>721</v>
      </c>
      <c r="J22" s="938"/>
      <c r="K22" s="947" t="s">
        <v>749</v>
      </c>
      <c r="L22" s="948"/>
      <c r="M22" s="948"/>
      <c r="N22" s="948"/>
      <c r="O22" s="949"/>
      <c r="P22" s="943" t="s">
        <v>250</v>
      </c>
      <c r="Q22" s="943" t="s">
        <v>625</v>
      </c>
      <c r="R22" s="937" t="s">
        <v>750</v>
      </c>
      <c r="S22" s="938"/>
      <c r="T22" s="937" t="s">
        <v>751</v>
      </c>
      <c r="U22" s="938"/>
      <c r="V22" s="936" t="s">
        <v>751</v>
      </c>
      <c r="W22" s="936"/>
      <c r="X22" s="936"/>
      <c r="Y22" s="936"/>
      <c r="Z22" s="936"/>
      <c r="AA22" s="936"/>
    </row>
    <row r="23" spans="1:29" s="12" customFormat="1" ht="14.45" customHeight="1" x14ac:dyDescent="0.2">
      <c r="A23" s="944"/>
      <c r="B23" s="944"/>
      <c r="C23" s="944"/>
      <c r="D23" s="944"/>
      <c r="E23" s="939"/>
      <c r="F23" s="940"/>
      <c r="G23" s="939"/>
      <c r="H23" s="940"/>
      <c r="I23" s="939"/>
      <c r="J23" s="940"/>
      <c r="K23" s="947" t="s">
        <v>160</v>
      </c>
      <c r="L23" s="948"/>
      <c r="M23" s="949"/>
      <c r="N23" s="937" t="s">
        <v>626</v>
      </c>
      <c r="O23" s="938"/>
      <c r="P23" s="944"/>
      <c r="Q23" s="944"/>
      <c r="R23" s="939"/>
      <c r="S23" s="940"/>
      <c r="T23" s="939"/>
      <c r="U23" s="940"/>
      <c r="V23" s="936"/>
      <c r="W23" s="936"/>
      <c r="X23" s="936"/>
      <c r="Y23" s="936"/>
      <c r="Z23" s="936"/>
      <c r="AA23" s="936"/>
    </row>
    <row r="24" spans="1:29" s="12" customFormat="1" ht="20.25" customHeight="1" x14ac:dyDescent="0.2">
      <c r="A24" s="944"/>
      <c r="B24" s="944"/>
      <c r="C24" s="944"/>
      <c r="D24" s="944"/>
      <c r="E24" s="941"/>
      <c r="F24" s="942"/>
      <c r="G24" s="941"/>
      <c r="H24" s="942"/>
      <c r="I24" s="941"/>
      <c r="J24" s="942"/>
      <c r="K24" s="950" t="s">
        <v>161</v>
      </c>
      <c r="L24" s="947" t="s">
        <v>247</v>
      </c>
      <c r="M24" s="949"/>
      <c r="N24" s="941"/>
      <c r="O24" s="942"/>
      <c r="P24" s="946"/>
      <c r="Q24" s="946"/>
      <c r="R24" s="941"/>
      <c r="S24" s="942"/>
      <c r="T24" s="941"/>
      <c r="U24" s="942"/>
      <c r="V24" s="936" t="s">
        <v>584</v>
      </c>
      <c r="W24" s="936"/>
      <c r="X24" s="936" t="s">
        <v>585</v>
      </c>
      <c r="Y24" s="936"/>
      <c r="Z24" s="936" t="s">
        <v>586</v>
      </c>
      <c r="AA24" s="936"/>
    </row>
    <row r="25" spans="1:29" s="12" customFormat="1" ht="21" x14ac:dyDescent="0.2">
      <c r="A25" s="945"/>
      <c r="B25" s="945"/>
      <c r="C25" s="945"/>
      <c r="D25" s="945"/>
      <c r="E25" s="154" t="s">
        <v>161</v>
      </c>
      <c r="F25" s="125" t="s">
        <v>162</v>
      </c>
      <c r="G25" s="15" t="s">
        <v>161</v>
      </c>
      <c r="H25" s="16" t="s">
        <v>162</v>
      </c>
      <c r="I25" s="154" t="s">
        <v>161</v>
      </c>
      <c r="J25" s="125" t="s">
        <v>162</v>
      </c>
      <c r="K25" s="951"/>
      <c r="L25" s="154" t="s">
        <v>161</v>
      </c>
      <c r="M25" s="125" t="s">
        <v>162</v>
      </c>
      <c r="N25" s="154" t="s">
        <v>161</v>
      </c>
      <c r="O25" s="125" t="s">
        <v>162</v>
      </c>
      <c r="P25" s="16" t="s">
        <v>162</v>
      </c>
      <c r="Q25" s="16" t="s">
        <v>162</v>
      </c>
      <c r="R25" s="15" t="s">
        <v>161</v>
      </c>
      <c r="S25" s="16" t="s">
        <v>162</v>
      </c>
      <c r="T25" s="77" t="s">
        <v>161</v>
      </c>
      <c r="U25" s="78" t="s">
        <v>162</v>
      </c>
      <c r="V25" s="218" t="s">
        <v>161</v>
      </c>
      <c r="W25" s="209" t="s">
        <v>162</v>
      </c>
      <c r="X25" s="218" t="s">
        <v>161</v>
      </c>
      <c r="Y25" s="209" t="s">
        <v>162</v>
      </c>
      <c r="Z25" s="218" t="s">
        <v>161</v>
      </c>
      <c r="AA25" s="209" t="s">
        <v>162</v>
      </c>
    </row>
    <row r="26" spans="1:29" s="23" customFormat="1" ht="20.45" customHeight="1" x14ac:dyDescent="0.25">
      <c r="A26" s="981" t="s">
        <v>638</v>
      </c>
      <c r="B26" s="316">
        <v>7766</v>
      </c>
      <c r="C26" s="300">
        <v>8000000</v>
      </c>
      <c r="D26" s="31">
        <v>43035</v>
      </c>
      <c r="E26" s="25">
        <v>251</v>
      </c>
      <c r="F26" s="159">
        <v>33044785.420000002</v>
      </c>
      <c r="G26" s="159">
        <v>3</v>
      </c>
      <c r="H26" s="159">
        <v>352796.41000000003</v>
      </c>
      <c r="I26" s="34">
        <v>42</v>
      </c>
      <c r="J26" s="11">
        <v>5713186.0700000003</v>
      </c>
      <c r="K26" s="34">
        <f>56-14</f>
        <v>42</v>
      </c>
      <c r="L26" s="34">
        <f>56-14</f>
        <v>42</v>
      </c>
      <c r="M26" s="11">
        <f>7669602.01-1956415.94</f>
        <v>5713186.0700000003</v>
      </c>
      <c r="N26" s="58">
        <f>16+25</f>
        <v>41</v>
      </c>
      <c r="O26" s="117">
        <f>2229345.07+1956415.54</f>
        <v>4185760.61</v>
      </c>
      <c r="P26" s="226">
        <f>J26-M26</f>
        <v>0</v>
      </c>
      <c r="Q26" s="58">
        <f>C26-J26</f>
        <v>2286813.9299999997</v>
      </c>
      <c r="R26" s="299">
        <v>69</v>
      </c>
      <c r="S26" s="11">
        <v>4872911.5000000009</v>
      </c>
      <c r="T26" s="34">
        <v>65</v>
      </c>
      <c r="U26" s="11">
        <f>4491814.17-160598.49</f>
        <v>4331215.68</v>
      </c>
      <c r="V26" s="299">
        <v>5</v>
      </c>
      <c r="W26" s="11">
        <f>484659.73-160598.49</f>
        <v>324061.24</v>
      </c>
      <c r="X26" s="299">
        <v>1</v>
      </c>
      <c r="Y26" s="11">
        <v>28228.69</v>
      </c>
      <c r="Z26" s="299">
        <v>33</v>
      </c>
      <c r="AA26" s="11">
        <v>3978925.7500000009</v>
      </c>
      <c r="AB26" s="12"/>
      <c r="AC26" s="12"/>
    </row>
    <row r="27" spans="1:29" s="23" customFormat="1" x14ac:dyDescent="0.25">
      <c r="A27" s="902"/>
      <c r="B27" s="377">
        <v>80642</v>
      </c>
      <c r="C27" s="159">
        <v>2200000</v>
      </c>
      <c r="D27" s="386">
        <v>45475</v>
      </c>
      <c r="E27" s="25">
        <v>61</v>
      </c>
      <c r="F27" s="159">
        <v>2762720.1100000003</v>
      </c>
      <c r="G27" s="159">
        <v>0</v>
      </c>
      <c r="H27" s="159">
        <v>0</v>
      </c>
      <c r="I27" s="58">
        <f>60-N27</f>
        <v>44</v>
      </c>
      <c r="J27" s="11">
        <f>2676095.11-O27</f>
        <v>1946335.5499999998</v>
      </c>
      <c r="K27" s="526">
        <v>33</v>
      </c>
      <c r="L27" s="526">
        <v>32</v>
      </c>
      <c r="M27" s="527">
        <v>1341049.8599999999</v>
      </c>
      <c r="N27" s="342">
        <v>16</v>
      </c>
      <c r="O27" s="528">
        <v>729759.55999999994</v>
      </c>
      <c r="P27" s="226">
        <f t="shared" ref="P27:P28" si="3">J27-M27</f>
        <v>605285.68999999994</v>
      </c>
      <c r="Q27" s="58">
        <v>0</v>
      </c>
      <c r="R27" s="299">
        <v>8</v>
      </c>
      <c r="S27" s="11">
        <v>169067.88</v>
      </c>
      <c r="T27" s="34">
        <v>2</v>
      </c>
      <c r="U27" s="11">
        <v>59237.789999999994</v>
      </c>
      <c r="V27" s="34">
        <v>2</v>
      </c>
      <c r="W27" s="11">
        <v>59237.789999999994</v>
      </c>
      <c r="X27" s="25"/>
      <c r="Y27" s="159"/>
      <c r="Z27" s="25"/>
      <c r="AA27" s="159"/>
      <c r="AB27" s="12"/>
      <c r="AC27" s="12"/>
    </row>
    <row r="28" spans="1:29" s="23" customFormat="1" ht="33.75" x14ac:dyDescent="0.25">
      <c r="A28" s="3" t="s">
        <v>194</v>
      </c>
      <c r="B28" s="316">
        <v>7923</v>
      </c>
      <c r="C28" s="163">
        <v>6000000</v>
      </c>
      <c r="D28" s="31">
        <v>43035</v>
      </c>
      <c r="E28" s="1">
        <v>91</v>
      </c>
      <c r="F28" s="159">
        <v>10208307.99</v>
      </c>
      <c r="G28" s="159">
        <v>1</v>
      </c>
      <c r="H28" s="159">
        <v>199304.76</v>
      </c>
      <c r="I28" s="34">
        <v>48</v>
      </c>
      <c r="J28" s="163">
        <v>5226126.13</v>
      </c>
      <c r="K28" s="34">
        <f>67-13-6</f>
        <v>48</v>
      </c>
      <c r="L28" s="34">
        <f>67-13-6</f>
        <v>48</v>
      </c>
      <c r="M28" s="11">
        <f>7356587.39-1394924-735537.26</f>
        <v>5226126.13</v>
      </c>
      <c r="N28" s="34">
        <f>22+13+6</f>
        <v>41</v>
      </c>
      <c r="O28" s="11">
        <f>2090035.41+1394924+735537.26</f>
        <v>4220496.67</v>
      </c>
      <c r="P28" s="226">
        <f t="shared" si="3"/>
        <v>0</v>
      </c>
      <c r="Q28" s="58">
        <v>0</v>
      </c>
      <c r="R28" s="299">
        <v>97</v>
      </c>
      <c r="S28" s="11">
        <v>5208665.9499999983</v>
      </c>
      <c r="T28" s="34">
        <v>87</v>
      </c>
      <c r="U28" s="11">
        <f>4795044.58-296006.88</f>
        <v>4499037.7</v>
      </c>
      <c r="V28" s="299">
        <v>7</v>
      </c>
      <c r="W28" s="11">
        <f>365814.57-296006.88</f>
        <v>69807.69</v>
      </c>
      <c r="X28" s="299">
        <v>6</v>
      </c>
      <c r="Y28" s="11">
        <v>729017.3</v>
      </c>
      <c r="Z28" s="299">
        <v>36</v>
      </c>
      <c r="AA28" s="11">
        <v>3700212.7100000009</v>
      </c>
      <c r="AB28" s="12"/>
      <c r="AC28" s="12"/>
    </row>
    <row r="29" spans="1:29" x14ac:dyDescent="0.25">
      <c r="A29" s="19" t="s">
        <v>195</v>
      </c>
      <c r="B29" s="59"/>
      <c r="C29" s="20">
        <f>SUM(C26:C28)</f>
        <v>16200000</v>
      </c>
      <c r="D29" s="20"/>
      <c r="E29" s="20">
        <f t="shared" ref="E29:T29" si="4">SUM(E26:E28)</f>
        <v>403</v>
      </c>
      <c r="F29" s="20">
        <f t="shared" si="4"/>
        <v>46015813.520000003</v>
      </c>
      <c r="G29" s="20">
        <f t="shared" si="4"/>
        <v>4</v>
      </c>
      <c r="H29" s="20">
        <f t="shared" si="4"/>
        <v>552101.17000000004</v>
      </c>
      <c r="I29" s="20">
        <f t="shared" si="4"/>
        <v>134</v>
      </c>
      <c r="J29" s="20">
        <f t="shared" si="4"/>
        <v>12885647.75</v>
      </c>
      <c r="K29" s="20">
        <f t="shared" si="4"/>
        <v>123</v>
      </c>
      <c r="L29" s="20">
        <f t="shared" si="4"/>
        <v>122</v>
      </c>
      <c r="M29" s="20">
        <f t="shared" si="4"/>
        <v>12280362.059999999</v>
      </c>
      <c r="N29" s="20">
        <f t="shared" si="4"/>
        <v>98</v>
      </c>
      <c r="O29" s="20">
        <f t="shared" si="4"/>
        <v>9136016.8399999999</v>
      </c>
      <c r="P29" s="20">
        <f t="shared" si="4"/>
        <v>605285.68999999994</v>
      </c>
      <c r="Q29" s="20">
        <f t="shared" si="4"/>
        <v>2286813.9299999997</v>
      </c>
      <c r="R29" s="20">
        <f t="shared" si="4"/>
        <v>174</v>
      </c>
      <c r="S29" s="20">
        <f t="shared" si="4"/>
        <v>10250645.329999998</v>
      </c>
      <c r="T29" s="20">
        <f t="shared" si="4"/>
        <v>154</v>
      </c>
      <c r="U29" s="20">
        <f>SUM(U26:U28)</f>
        <v>8889491.1699999999</v>
      </c>
      <c r="V29" s="20">
        <f>SUM(V26:V28)</f>
        <v>14</v>
      </c>
      <c r="W29" s="20">
        <f t="shared" ref="W29:AA29" si="5">SUM(W26:W28)</f>
        <v>453106.72</v>
      </c>
      <c r="X29" s="20">
        <f t="shared" si="5"/>
        <v>7</v>
      </c>
      <c r="Y29" s="20">
        <f t="shared" si="5"/>
        <v>757245.99</v>
      </c>
      <c r="Z29" s="20">
        <f t="shared" si="5"/>
        <v>69</v>
      </c>
      <c r="AA29" s="20">
        <f t="shared" si="5"/>
        <v>7679138.4600000018</v>
      </c>
      <c r="AB29" s="12"/>
      <c r="AC29" s="12"/>
    </row>
    <row r="30" spans="1:29" ht="15" customHeight="1" x14ac:dyDescent="0.25">
      <c r="A30" s="155" t="s">
        <v>618</v>
      </c>
      <c r="B30" s="134"/>
      <c r="C30" s="134"/>
      <c r="D30" s="134"/>
      <c r="E30" s="134"/>
      <c r="F30" s="134"/>
      <c r="G30" s="134"/>
      <c r="H30" s="134"/>
      <c r="I30" s="134"/>
      <c r="J30" s="134"/>
      <c r="K30" s="134"/>
      <c r="L30" s="134"/>
      <c r="M30" s="134"/>
      <c r="N30" s="134"/>
      <c r="O30" s="134"/>
      <c r="P30" s="134"/>
      <c r="Q30" s="384"/>
      <c r="R30" s="134"/>
      <c r="S30" s="134"/>
      <c r="AB30" s="12"/>
      <c r="AC30" s="12"/>
    </row>
    <row r="31" spans="1:29" ht="12" customHeight="1" x14ac:dyDescent="0.25">
      <c r="A31" s="155" t="s">
        <v>720</v>
      </c>
      <c r="U31" s="50"/>
      <c r="AB31" s="12"/>
      <c r="AC31" s="12"/>
    </row>
    <row r="32" spans="1:29" s="23" customFormat="1" ht="18" customHeight="1" x14ac:dyDescent="0.25">
      <c r="A32" s="935" t="s">
        <v>744</v>
      </c>
      <c r="B32" s="935"/>
      <c r="C32" s="935"/>
      <c r="D32" s="935"/>
      <c r="E32" s="935"/>
      <c r="F32" s="935"/>
      <c r="G32" s="935"/>
      <c r="H32" s="935"/>
      <c r="I32" s="935"/>
      <c r="J32" s="935"/>
      <c r="K32" s="935"/>
      <c r="L32" s="935"/>
      <c r="M32" s="935"/>
      <c r="N32" s="935"/>
      <c r="O32" s="935"/>
      <c r="P32" s="935"/>
      <c r="Q32" s="935"/>
      <c r="R32" s="935"/>
      <c r="S32" s="935"/>
      <c r="T32" s="935"/>
      <c r="U32" s="935"/>
      <c r="V32" s="935"/>
      <c r="W32" s="935"/>
      <c r="X32" s="935"/>
      <c r="Y32" s="935"/>
      <c r="Z32" s="935"/>
      <c r="AA32" s="935"/>
      <c r="AB32" s="12"/>
      <c r="AC32" s="12"/>
    </row>
    <row r="34" spans="5:13" x14ac:dyDescent="0.25">
      <c r="E34" s="50"/>
      <c r="I34" s="50"/>
      <c r="L34" s="185"/>
      <c r="M34" s="185"/>
    </row>
  </sheetData>
  <mergeCells count="62">
    <mergeCell ref="G2:H4"/>
    <mergeCell ref="G13:H15"/>
    <mergeCell ref="K2:O2"/>
    <mergeCell ref="I2:J4"/>
    <mergeCell ref="I13:J15"/>
    <mergeCell ref="N3:O4"/>
    <mergeCell ref="K4:K5"/>
    <mergeCell ref="L4:M4"/>
    <mergeCell ref="A2:A5"/>
    <mergeCell ref="C2:C5"/>
    <mergeCell ref="D2:D5"/>
    <mergeCell ref="E2:F4"/>
    <mergeCell ref="B2:B5"/>
    <mergeCell ref="R2:S4"/>
    <mergeCell ref="Q2:Q4"/>
    <mergeCell ref="R13:S15"/>
    <mergeCell ref="T13:U15"/>
    <mergeCell ref="K14:M14"/>
    <mergeCell ref="N14:O15"/>
    <mergeCell ref="K15:K16"/>
    <mergeCell ref="L15:M15"/>
    <mergeCell ref="Q13:Q15"/>
    <mergeCell ref="T2:U4"/>
    <mergeCell ref="K3:M3"/>
    <mergeCell ref="K13:O13"/>
    <mergeCell ref="P13:P15"/>
    <mergeCell ref="P2:P4"/>
    <mergeCell ref="A32:AA32"/>
    <mergeCell ref="I22:J24"/>
    <mergeCell ref="K22:O22"/>
    <mergeCell ref="P22:P24"/>
    <mergeCell ref="G22:H24"/>
    <mergeCell ref="A26:A27"/>
    <mergeCell ref="T22:U24"/>
    <mergeCell ref="K23:M23"/>
    <mergeCell ref="N23:O24"/>
    <mergeCell ref="K24:K25"/>
    <mergeCell ref="L24:M24"/>
    <mergeCell ref="R22:S24"/>
    <mergeCell ref="A22:A25"/>
    <mergeCell ref="C22:C25"/>
    <mergeCell ref="D22:D25"/>
    <mergeCell ref="E22:F24"/>
    <mergeCell ref="V2:AA3"/>
    <mergeCell ref="V4:W4"/>
    <mergeCell ref="X4:Y4"/>
    <mergeCell ref="Z4:AA4"/>
    <mergeCell ref="V13:AA14"/>
    <mergeCell ref="V15:W15"/>
    <mergeCell ref="X15:Y15"/>
    <mergeCell ref="Z15:AA15"/>
    <mergeCell ref="V22:AA23"/>
    <mergeCell ref="V24:W24"/>
    <mergeCell ref="X24:Y24"/>
    <mergeCell ref="Z24:AA24"/>
    <mergeCell ref="Q22:Q24"/>
    <mergeCell ref="B22:B25"/>
    <mergeCell ref="A13:A16"/>
    <mergeCell ref="C13:C16"/>
    <mergeCell ref="D13:D16"/>
    <mergeCell ref="E13:F15"/>
    <mergeCell ref="B13:B16"/>
  </mergeCells>
  <printOptions horizontalCentered="1"/>
  <pageMargins left="0.51181102362204722" right="0.51181102362204722" top="0.94488188976377963" bottom="0.55118110236220474" header="0.31496062992125984" footer="0.31496062992125984"/>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57"/>
  <sheetViews>
    <sheetView view="pageBreakPreview" topLeftCell="A37" zoomScaleNormal="100" zoomScaleSheetLayoutView="100" workbookViewId="0">
      <selection activeCell="AA16" activeCellId="1" sqref="W16 AA16"/>
    </sheetView>
  </sheetViews>
  <sheetFormatPr defaultColWidth="8.7109375" defaultRowHeight="15" x14ac:dyDescent="0.25"/>
  <cols>
    <col min="2" max="2" width="5.7109375" style="4" customWidth="1"/>
    <col min="5" max="5" width="4.5703125" customWidth="1"/>
    <col min="7" max="7" width="3.140625" bestFit="1" customWidth="1"/>
    <col min="9" max="9" width="2.85546875" customWidth="1"/>
    <col min="11" max="11" width="3.140625" bestFit="1" customWidth="1"/>
    <col min="12" max="12" width="4.5703125" customWidth="1"/>
    <col min="13" max="13" width="9.42578125" customWidth="1"/>
    <col min="14" max="14" width="3.7109375" customWidth="1"/>
    <col min="15" max="15" width="9.7109375" customWidth="1"/>
    <col min="16" max="16" width="10.7109375" customWidth="1"/>
    <col min="17" max="17" width="8.42578125" customWidth="1"/>
    <col min="18" max="18" width="2.85546875" customWidth="1"/>
    <col min="19" max="19" width="10.5703125" customWidth="1"/>
    <col min="20" max="20" width="3.42578125" customWidth="1"/>
    <col min="21" max="21" width="9.28515625" customWidth="1"/>
    <col min="22" max="22" width="3.140625" style="126" bestFit="1" customWidth="1"/>
    <col min="23" max="23" width="9" bestFit="1" customWidth="1"/>
    <col min="24" max="24" width="3.140625" bestFit="1" customWidth="1"/>
    <col min="26" max="26" width="3.140625" bestFit="1" customWidth="1"/>
    <col min="29" max="29" width="14.42578125" bestFit="1" customWidth="1"/>
  </cols>
  <sheetData>
    <row r="1" spans="1:29" ht="27.75" customHeight="1" x14ac:dyDescent="0.25">
      <c r="A1" s="986" t="s">
        <v>620</v>
      </c>
      <c r="B1" s="986"/>
      <c r="C1" s="986"/>
      <c r="D1" s="986"/>
      <c r="E1" s="986"/>
      <c r="F1" s="986"/>
      <c r="G1" s="986"/>
      <c r="H1" s="986"/>
      <c r="I1" s="986"/>
      <c r="J1" s="986"/>
      <c r="K1" s="986"/>
      <c r="L1" s="986"/>
      <c r="M1" s="986"/>
      <c r="N1" s="986"/>
      <c r="O1" s="986"/>
      <c r="P1" s="986"/>
      <c r="Q1" s="986"/>
      <c r="R1" s="986"/>
      <c r="S1" s="986"/>
      <c r="T1" s="986"/>
      <c r="U1" s="986"/>
      <c r="V1" s="986"/>
      <c r="W1" s="986"/>
      <c r="X1" s="986"/>
      <c r="Y1" s="986"/>
      <c r="Z1" s="986"/>
      <c r="AA1" s="986"/>
    </row>
    <row r="2" spans="1:29" s="12" customFormat="1" ht="28.9" customHeight="1" x14ac:dyDescent="0.2">
      <c r="A2" s="943" t="s">
        <v>156</v>
      </c>
      <c r="B2" s="943" t="s">
        <v>282</v>
      </c>
      <c r="C2" s="943" t="s">
        <v>157</v>
      </c>
      <c r="D2" s="943" t="s">
        <v>158</v>
      </c>
      <c r="E2" s="937" t="s">
        <v>337</v>
      </c>
      <c r="F2" s="938"/>
      <c r="G2" s="937" t="s">
        <v>277</v>
      </c>
      <c r="H2" s="938"/>
      <c r="I2" s="937" t="s">
        <v>159</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9"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9"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9"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9" s="126" customFormat="1" ht="56.25" x14ac:dyDescent="0.2">
      <c r="A6" s="3" t="s">
        <v>260</v>
      </c>
      <c r="B6" s="127">
        <v>41481</v>
      </c>
      <c r="C6" s="25">
        <v>179282.68</v>
      </c>
      <c r="D6" s="2">
        <v>44043</v>
      </c>
      <c r="E6" s="25">
        <v>2</v>
      </c>
      <c r="F6" s="25">
        <v>276976</v>
      </c>
      <c r="G6" s="25">
        <v>0</v>
      </c>
      <c r="H6" s="25">
        <v>0</v>
      </c>
      <c r="I6" s="25">
        <v>2</v>
      </c>
      <c r="J6" s="25">
        <f>179282.68+77000</f>
        <v>256282.68</v>
      </c>
      <c r="K6" s="25">
        <v>1</v>
      </c>
      <c r="L6" s="25">
        <v>1</v>
      </c>
      <c r="M6" s="25">
        <v>179282.68</v>
      </c>
      <c r="N6" s="25">
        <v>0</v>
      </c>
      <c r="O6" s="25">
        <v>0</v>
      </c>
      <c r="P6" s="25">
        <f>J6-M6</f>
        <v>77000</v>
      </c>
      <c r="Q6" s="179">
        <f>C6-J6</f>
        <v>-77000</v>
      </c>
      <c r="R6" s="522">
        <v>0</v>
      </c>
      <c r="S6" s="522">
        <v>0</v>
      </c>
      <c r="T6" s="25">
        <v>0</v>
      </c>
      <c r="U6" s="25">
        <v>0</v>
      </c>
      <c r="V6" s="25">
        <v>0</v>
      </c>
      <c r="W6" s="25">
        <v>0</v>
      </c>
      <c r="X6" s="25">
        <v>0</v>
      </c>
      <c r="Y6" s="25">
        <v>0</v>
      </c>
      <c r="Z6" s="25">
        <v>0</v>
      </c>
      <c r="AA6" s="25">
        <v>0</v>
      </c>
    </row>
    <row r="7" spans="1:29" x14ac:dyDescent="0.25">
      <c r="A7" s="19" t="s">
        <v>261</v>
      </c>
      <c r="B7" s="144"/>
      <c r="C7" s="20">
        <f>C6</f>
        <v>179282.68</v>
      </c>
      <c r="D7" s="20"/>
      <c r="E7" s="20">
        <f>E6</f>
        <v>2</v>
      </c>
      <c r="F7" s="20">
        <f>F6</f>
        <v>276976</v>
      </c>
      <c r="G7" s="20">
        <f>G6</f>
        <v>0</v>
      </c>
      <c r="H7" s="20">
        <f>H6</f>
        <v>0</v>
      </c>
      <c r="I7" s="20">
        <f t="shared" ref="I7:U7" si="0">I6</f>
        <v>2</v>
      </c>
      <c r="J7" s="20">
        <f t="shared" si="0"/>
        <v>256282.68</v>
      </c>
      <c r="K7" s="20">
        <f t="shared" si="0"/>
        <v>1</v>
      </c>
      <c r="L7" s="20">
        <f t="shared" si="0"/>
        <v>1</v>
      </c>
      <c r="M7" s="20">
        <f t="shared" si="0"/>
        <v>179282.68</v>
      </c>
      <c r="N7" s="20">
        <f t="shared" si="0"/>
        <v>0</v>
      </c>
      <c r="O7" s="20">
        <f t="shared" si="0"/>
        <v>0</v>
      </c>
      <c r="P7" s="20">
        <f t="shared" si="0"/>
        <v>77000</v>
      </c>
      <c r="Q7" s="20">
        <f t="shared" si="0"/>
        <v>-77000</v>
      </c>
      <c r="R7" s="20">
        <f t="shared" si="0"/>
        <v>0</v>
      </c>
      <c r="S7" s="20">
        <f t="shared" si="0"/>
        <v>0</v>
      </c>
      <c r="T7" s="20">
        <f t="shared" si="0"/>
        <v>0</v>
      </c>
      <c r="U7" s="20">
        <f t="shared" si="0"/>
        <v>0</v>
      </c>
      <c r="V7" s="20">
        <f t="shared" ref="V7:AA7" si="1">V6</f>
        <v>0</v>
      </c>
      <c r="W7" s="20">
        <f t="shared" si="1"/>
        <v>0</v>
      </c>
      <c r="X7" s="20">
        <f t="shared" si="1"/>
        <v>0</v>
      </c>
      <c r="Y7" s="20">
        <f t="shared" si="1"/>
        <v>0</v>
      </c>
      <c r="Z7" s="20">
        <f t="shared" si="1"/>
        <v>0</v>
      </c>
      <c r="AA7" s="20">
        <f t="shared" si="1"/>
        <v>0</v>
      </c>
    </row>
    <row r="8" spans="1:29" ht="10.5" customHeight="1" x14ac:dyDescent="0.25"/>
    <row r="9" spans="1:29" ht="18.600000000000001" customHeight="1" x14ac:dyDescent="0.25">
      <c r="A9" s="986" t="s">
        <v>196</v>
      </c>
      <c r="B9" s="986"/>
      <c r="C9" s="986"/>
      <c r="D9" s="986"/>
      <c r="E9" s="986"/>
      <c r="F9" s="986"/>
      <c r="G9" s="986"/>
      <c r="H9" s="986"/>
      <c r="I9" s="986"/>
      <c r="J9" s="986"/>
      <c r="K9" s="986"/>
      <c r="L9" s="986"/>
      <c r="M9" s="986"/>
      <c r="N9" s="986"/>
      <c r="O9" s="986"/>
      <c r="P9" s="986"/>
      <c r="Q9" s="986"/>
      <c r="R9" s="986"/>
      <c r="S9" s="986"/>
      <c r="T9" s="986"/>
      <c r="U9" s="986"/>
      <c r="V9" s="986"/>
      <c r="W9" s="986"/>
      <c r="X9" s="986"/>
      <c r="Y9" s="986"/>
      <c r="Z9" s="986"/>
      <c r="AA9" s="986"/>
    </row>
    <row r="10" spans="1:29" s="12" customFormat="1" ht="28.9" customHeight="1" x14ac:dyDescent="0.2">
      <c r="A10" s="943" t="s">
        <v>156</v>
      </c>
      <c r="B10" s="943" t="s">
        <v>282</v>
      </c>
      <c r="C10" s="943" t="s">
        <v>157</v>
      </c>
      <c r="D10" s="943" t="s">
        <v>158</v>
      </c>
      <c r="E10" s="937" t="s">
        <v>337</v>
      </c>
      <c r="F10" s="938"/>
      <c r="G10" s="937" t="s">
        <v>277</v>
      </c>
      <c r="H10" s="938"/>
      <c r="I10" s="937" t="s">
        <v>721</v>
      </c>
      <c r="J10" s="938"/>
      <c r="K10" s="947" t="s">
        <v>752</v>
      </c>
      <c r="L10" s="948"/>
      <c r="M10" s="948"/>
      <c r="N10" s="948"/>
      <c r="O10" s="949"/>
      <c r="P10" s="943" t="s">
        <v>250</v>
      </c>
      <c r="Q10" s="943" t="s">
        <v>625</v>
      </c>
      <c r="R10" s="937" t="s">
        <v>750</v>
      </c>
      <c r="S10" s="938"/>
      <c r="T10" s="937" t="s">
        <v>751</v>
      </c>
      <c r="U10" s="938"/>
      <c r="V10" s="936" t="s">
        <v>751</v>
      </c>
      <c r="W10" s="936"/>
      <c r="X10" s="936"/>
      <c r="Y10" s="936"/>
      <c r="Z10" s="936"/>
      <c r="AA10" s="936"/>
    </row>
    <row r="11" spans="1:29" s="12" customFormat="1" ht="14.45" customHeight="1" x14ac:dyDescent="0.2">
      <c r="A11" s="944"/>
      <c r="B11" s="944"/>
      <c r="C11" s="944"/>
      <c r="D11" s="944"/>
      <c r="E11" s="939"/>
      <c r="F11" s="940"/>
      <c r="G11" s="939"/>
      <c r="H11" s="940"/>
      <c r="I11" s="939"/>
      <c r="J11" s="940"/>
      <c r="K11" s="947" t="s">
        <v>160</v>
      </c>
      <c r="L11" s="948"/>
      <c r="M11" s="949"/>
      <c r="N11" s="937" t="s">
        <v>626</v>
      </c>
      <c r="O11" s="938"/>
      <c r="P11" s="944"/>
      <c r="Q11" s="944"/>
      <c r="R11" s="939"/>
      <c r="S11" s="940"/>
      <c r="T11" s="939"/>
      <c r="U11" s="940"/>
      <c r="V11" s="936"/>
      <c r="W11" s="936"/>
      <c r="X11" s="936"/>
      <c r="Y11" s="936"/>
      <c r="Z11" s="936"/>
      <c r="AA11" s="936"/>
    </row>
    <row r="12" spans="1:29" s="12" customFormat="1" ht="20.25" customHeight="1" x14ac:dyDescent="0.2">
      <c r="A12" s="944"/>
      <c r="B12" s="944"/>
      <c r="C12" s="944"/>
      <c r="D12" s="944"/>
      <c r="E12" s="941"/>
      <c r="F12" s="942"/>
      <c r="G12" s="941"/>
      <c r="H12" s="942"/>
      <c r="I12" s="941"/>
      <c r="J12" s="942"/>
      <c r="K12" s="950" t="s">
        <v>161</v>
      </c>
      <c r="L12" s="947" t="s">
        <v>247</v>
      </c>
      <c r="M12" s="949"/>
      <c r="N12" s="941"/>
      <c r="O12" s="942"/>
      <c r="P12" s="946"/>
      <c r="Q12" s="946"/>
      <c r="R12" s="941"/>
      <c r="S12" s="942"/>
      <c r="T12" s="941"/>
      <c r="U12" s="942"/>
      <c r="V12" s="936" t="s">
        <v>584</v>
      </c>
      <c r="W12" s="936"/>
      <c r="X12" s="936" t="s">
        <v>585</v>
      </c>
      <c r="Y12" s="936"/>
      <c r="Z12" s="936" t="s">
        <v>586</v>
      </c>
      <c r="AA12" s="936"/>
    </row>
    <row r="13" spans="1:29" s="12" customFormat="1" ht="21" x14ac:dyDescent="0.2">
      <c r="A13" s="945"/>
      <c r="B13" s="945"/>
      <c r="C13" s="945"/>
      <c r="D13" s="945"/>
      <c r="E13" s="154" t="s">
        <v>161</v>
      </c>
      <c r="F13" s="125" t="s">
        <v>162</v>
      </c>
      <c r="G13" s="15" t="s">
        <v>161</v>
      </c>
      <c r="H13" s="16" t="s">
        <v>162</v>
      </c>
      <c r="I13" s="154" t="s">
        <v>161</v>
      </c>
      <c r="J13" s="125" t="s">
        <v>162</v>
      </c>
      <c r="K13" s="951"/>
      <c r="L13" s="154" t="s">
        <v>161</v>
      </c>
      <c r="M13" s="125" t="s">
        <v>162</v>
      </c>
      <c r="N13" s="154" t="s">
        <v>161</v>
      </c>
      <c r="O13" s="125" t="s">
        <v>162</v>
      </c>
      <c r="P13" s="16" t="s">
        <v>162</v>
      </c>
      <c r="Q13" s="16" t="s">
        <v>162</v>
      </c>
      <c r="R13" s="15" t="s">
        <v>161</v>
      </c>
      <c r="S13" s="16" t="s">
        <v>162</v>
      </c>
      <c r="T13" s="77" t="s">
        <v>161</v>
      </c>
      <c r="U13" s="78" t="s">
        <v>162</v>
      </c>
      <c r="V13" s="218" t="s">
        <v>161</v>
      </c>
      <c r="W13" s="209" t="s">
        <v>162</v>
      </c>
      <c r="X13" s="218" t="s">
        <v>161</v>
      </c>
      <c r="Y13" s="209" t="s">
        <v>162</v>
      </c>
      <c r="Z13" s="218" t="s">
        <v>161</v>
      </c>
      <c r="AA13" s="209" t="s">
        <v>162</v>
      </c>
    </row>
    <row r="14" spans="1:29" s="23" customFormat="1" ht="22.5" x14ac:dyDescent="0.25">
      <c r="A14" s="282" t="s">
        <v>92</v>
      </c>
      <c r="B14" s="141">
        <v>16181</v>
      </c>
      <c r="C14" s="911">
        <v>4125000</v>
      </c>
      <c r="D14" s="2">
        <v>43361.584016203706</v>
      </c>
      <c r="E14" s="25">
        <v>14</v>
      </c>
      <c r="F14" s="165">
        <v>1836447.32</v>
      </c>
      <c r="G14" s="25">
        <v>0</v>
      </c>
      <c r="H14" s="25">
        <v>0</v>
      </c>
      <c r="I14" s="179">
        <v>8</v>
      </c>
      <c r="J14" s="522">
        <v>953812.69000000018</v>
      </c>
      <c r="K14" s="522">
        <v>8</v>
      </c>
      <c r="L14" s="522">
        <v>8</v>
      </c>
      <c r="M14" s="522">
        <v>953812.69000000018</v>
      </c>
      <c r="N14" s="522">
        <v>6</v>
      </c>
      <c r="O14" s="522">
        <v>710941.8</v>
      </c>
      <c r="P14" s="522">
        <f>J14-M14</f>
        <v>0</v>
      </c>
      <c r="Q14" s="522">
        <v>0</v>
      </c>
      <c r="R14" s="522">
        <v>5</v>
      </c>
      <c r="S14" s="522">
        <v>677747.23</v>
      </c>
      <c r="T14" s="25">
        <v>1</v>
      </c>
      <c r="U14" s="25">
        <v>155939.14000000001</v>
      </c>
      <c r="V14" s="25">
        <v>0</v>
      </c>
      <c r="W14" s="25">
        <v>0</v>
      </c>
      <c r="X14" s="25">
        <v>0</v>
      </c>
      <c r="Y14" s="25">
        <v>0</v>
      </c>
      <c r="Z14" s="25">
        <v>1</v>
      </c>
      <c r="AA14" s="25">
        <v>155939.14000000001</v>
      </c>
    </row>
    <row r="15" spans="1:29" s="23" customFormat="1" ht="45" x14ac:dyDescent="0.25">
      <c r="A15" s="187" t="s">
        <v>499</v>
      </c>
      <c r="B15" s="127">
        <v>63801</v>
      </c>
      <c r="C15" s="912"/>
      <c r="D15" s="106">
        <v>44718</v>
      </c>
      <c r="E15" s="179">
        <v>31</v>
      </c>
      <c r="F15" s="179">
        <v>4901631.1500000004</v>
      </c>
      <c r="G15" s="179">
        <v>0</v>
      </c>
      <c r="H15" s="179">
        <v>0</v>
      </c>
      <c r="I15" s="522">
        <v>14</v>
      </c>
      <c r="J15" s="522">
        <v>1641719.39</v>
      </c>
      <c r="K15" s="522">
        <v>14</v>
      </c>
      <c r="L15" s="522">
        <v>14</v>
      </c>
      <c r="M15" s="522">
        <v>1641719.39</v>
      </c>
      <c r="N15" s="522">
        <v>8</v>
      </c>
      <c r="O15" s="522">
        <v>1329334.55</v>
      </c>
      <c r="P15" s="522">
        <f>J15-M15</f>
        <v>0</v>
      </c>
      <c r="Q15" s="342">
        <v>0</v>
      </c>
      <c r="R15" s="523">
        <v>6</v>
      </c>
      <c r="S15" s="523">
        <v>543219.94999999995</v>
      </c>
      <c r="T15" s="274">
        <v>1</v>
      </c>
      <c r="U15" s="274">
        <v>85835.44</v>
      </c>
      <c r="V15" s="274">
        <v>1</v>
      </c>
      <c r="W15" s="274">
        <v>85835.44</v>
      </c>
      <c r="X15" s="274">
        <v>0</v>
      </c>
      <c r="Y15" s="274">
        <v>0</v>
      </c>
      <c r="Z15" s="274">
        <v>0</v>
      </c>
      <c r="AA15" s="274">
        <v>0</v>
      </c>
    </row>
    <row r="16" spans="1:29" ht="17.25" customHeight="1" x14ac:dyDescent="0.25">
      <c r="A16" s="19" t="s">
        <v>197</v>
      </c>
      <c r="B16" s="144"/>
      <c r="C16" s="20">
        <f>SUM(C14:C15)</f>
        <v>4125000</v>
      </c>
      <c r="D16" s="20"/>
      <c r="E16" s="20">
        <f>SUM(E14:E15)</f>
        <v>45</v>
      </c>
      <c r="F16" s="20">
        <f t="shared" ref="F16:T16" si="2">SUM(F14:F15)</f>
        <v>6738078.4700000007</v>
      </c>
      <c r="G16" s="20">
        <f t="shared" si="2"/>
        <v>0</v>
      </c>
      <c r="H16" s="20">
        <f t="shared" si="2"/>
        <v>0</v>
      </c>
      <c r="I16" s="20">
        <f t="shared" si="2"/>
        <v>22</v>
      </c>
      <c r="J16" s="20">
        <f t="shared" si="2"/>
        <v>2595532.08</v>
      </c>
      <c r="K16" s="20">
        <f t="shared" si="2"/>
        <v>22</v>
      </c>
      <c r="L16" s="20">
        <f t="shared" si="2"/>
        <v>22</v>
      </c>
      <c r="M16" s="20">
        <f t="shared" si="2"/>
        <v>2595532.08</v>
      </c>
      <c r="N16" s="20">
        <f t="shared" si="2"/>
        <v>14</v>
      </c>
      <c r="O16" s="20">
        <f t="shared" si="2"/>
        <v>2040276.35</v>
      </c>
      <c r="P16" s="20">
        <f t="shared" si="2"/>
        <v>0</v>
      </c>
      <c r="Q16" s="20">
        <f t="shared" si="2"/>
        <v>0</v>
      </c>
      <c r="R16" s="20">
        <f t="shared" si="2"/>
        <v>11</v>
      </c>
      <c r="S16" s="20">
        <f t="shared" si="2"/>
        <v>1220967.18</v>
      </c>
      <c r="T16" s="20">
        <f t="shared" si="2"/>
        <v>2</v>
      </c>
      <c r="U16" s="20">
        <f>SUM(U14:U15)</f>
        <v>241774.58000000002</v>
      </c>
      <c r="V16" s="20">
        <f t="shared" ref="V16:AA16" si="3">SUM(V14:V15)</f>
        <v>1</v>
      </c>
      <c r="W16" s="20">
        <f t="shared" si="3"/>
        <v>85835.44</v>
      </c>
      <c r="X16" s="20">
        <f t="shared" si="3"/>
        <v>0</v>
      </c>
      <c r="Y16" s="20">
        <f t="shared" si="3"/>
        <v>0</v>
      </c>
      <c r="Z16" s="20">
        <f t="shared" si="3"/>
        <v>1</v>
      </c>
      <c r="AA16" s="20">
        <f t="shared" si="3"/>
        <v>155939.14000000001</v>
      </c>
      <c r="AB16" s="23"/>
      <c r="AC16" s="23"/>
    </row>
    <row r="17" spans="1:28" ht="14.45" customHeight="1" x14ac:dyDescent="0.25">
      <c r="A17" t="s">
        <v>729</v>
      </c>
    </row>
    <row r="18" spans="1:28" ht="9" customHeight="1" x14ac:dyDescent="0.25"/>
    <row r="19" spans="1:28" ht="27.6" customHeight="1" x14ac:dyDescent="0.25">
      <c r="A19" s="986" t="s">
        <v>198</v>
      </c>
      <c r="B19" s="986"/>
      <c r="C19" s="986"/>
      <c r="D19" s="986"/>
      <c r="E19" s="986"/>
      <c r="F19" s="986"/>
      <c r="G19" s="986"/>
      <c r="H19" s="986"/>
      <c r="I19" s="986"/>
      <c r="J19" s="986"/>
      <c r="K19" s="986"/>
      <c r="L19" s="986"/>
      <c r="M19" s="986"/>
      <c r="N19" s="986"/>
      <c r="O19" s="986"/>
      <c r="P19" s="986"/>
      <c r="Q19" s="986"/>
      <c r="R19" s="986"/>
      <c r="S19" s="986"/>
      <c r="T19" s="986"/>
      <c r="U19" s="986"/>
      <c r="V19" s="986"/>
      <c r="W19" s="986"/>
      <c r="X19" s="986"/>
      <c r="Y19" s="986"/>
      <c r="Z19" s="986"/>
      <c r="AA19" s="986"/>
    </row>
    <row r="20" spans="1:28" s="12" customFormat="1" ht="28.9" customHeight="1" x14ac:dyDescent="0.2">
      <c r="A20" s="943" t="s">
        <v>156</v>
      </c>
      <c r="B20" s="943" t="s">
        <v>282</v>
      </c>
      <c r="C20" s="943" t="s">
        <v>157</v>
      </c>
      <c r="D20" s="943" t="s">
        <v>158</v>
      </c>
      <c r="E20" s="937" t="s">
        <v>337</v>
      </c>
      <c r="F20" s="938"/>
      <c r="G20" s="937" t="s">
        <v>277</v>
      </c>
      <c r="H20" s="938"/>
      <c r="I20" s="937" t="s">
        <v>159</v>
      </c>
      <c r="J20" s="938"/>
      <c r="K20" s="947" t="s">
        <v>749</v>
      </c>
      <c r="L20" s="948"/>
      <c r="M20" s="948"/>
      <c r="N20" s="948"/>
      <c r="O20" s="949"/>
      <c r="P20" s="943" t="s">
        <v>250</v>
      </c>
      <c r="Q20" s="943" t="s">
        <v>625</v>
      </c>
      <c r="R20" s="937" t="s">
        <v>750</v>
      </c>
      <c r="S20" s="938"/>
      <c r="T20" s="937" t="s">
        <v>751</v>
      </c>
      <c r="U20" s="938"/>
      <c r="V20" s="936" t="s">
        <v>751</v>
      </c>
      <c r="W20" s="936"/>
      <c r="X20" s="936"/>
      <c r="Y20" s="936"/>
      <c r="Z20" s="936"/>
      <c r="AA20" s="936"/>
    </row>
    <row r="21" spans="1:28" s="12" customFormat="1" ht="14.45" customHeight="1" x14ac:dyDescent="0.2">
      <c r="A21" s="944"/>
      <c r="B21" s="944"/>
      <c r="C21" s="944"/>
      <c r="D21" s="944"/>
      <c r="E21" s="939"/>
      <c r="F21" s="940"/>
      <c r="G21" s="939"/>
      <c r="H21" s="940"/>
      <c r="I21" s="939"/>
      <c r="J21" s="940"/>
      <c r="K21" s="947" t="s">
        <v>160</v>
      </c>
      <c r="L21" s="948"/>
      <c r="M21" s="949"/>
      <c r="N21" s="937" t="s">
        <v>626</v>
      </c>
      <c r="O21" s="938"/>
      <c r="P21" s="944"/>
      <c r="Q21" s="944"/>
      <c r="R21" s="939"/>
      <c r="S21" s="940"/>
      <c r="T21" s="939"/>
      <c r="U21" s="940"/>
      <c r="V21" s="936"/>
      <c r="W21" s="936"/>
      <c r="X21" s="936"/>
      <c r="Y21" s="936"/>
      <c r="Z21" s="936"/>
      <c r="AA21" s="936"/>
    </row>
    <row r="22" spans="1:28" s="12" customFormat="1" ht="20.25" customHeight="1" x14ac:dyDescent="0.2">
      <c r="A22" s="944"/>
      <c r="B22" s="944"/>
      <c r="C22" s="944"/>
      <c r="D22" s="944"/>
      <c r="E22" s="941"/>
      <c r="F22" s="942"/>
      <c r="G22" s="941"/>
      <c r="H22" s="942"/>
      <c r="I22" s="941"/>
      <c r="J22" s="942"/>
      <c r="K22" s="950" t="s">
        <v>161</v>
      </c>
      <c r="L22" s="947" t="s">
        <v>247</v>
      </c>
      <c r="M22" s="949"/>
      <c r="N22" s="941"/>
      <c r="O22" s="942"/>
      <c r="P22" s="946"/>
      <c r="Q22" s="946"/>
      <c r="R22" s="941"/>
      <c r="S22" s="942"/>
      <c r="T22" s="941"/>
      <c r="U22" s="942"/>
      <c r="V22" s="936" t="s">
        <v>584</v>
      </c>
      <c r="W22" s="936"/>
      <c r="X22" s="936" t="s">
        <v>585</v>
      </c>
      <c r="Y22" s="936"/>
      <c r="Z22" s="936" t="s">
        <v>586</v>
      </c>
      <c r="AA22" s="936"/>
    </row>
    <row r="23" spans="1:28" s="12" customFormat="1" ht="21" x14ac:dyDescent="0.2">
      <c r="A23" s="945"/>
      <c r="B23" s="945"/>
      <c r="C23" s="945"/>
      <c r="D23" s="945"/>
      <c r="E23" s="154" t="s">
        <v>161</v>
      </c>
      <c r="F23" s="125" t="s">
        <v>162</v>
      </c>
      <c r="G23" s="15" t="s">
        <v>161</v>
      </c>
      <c r="H23" s="16" t="s">
        <v>162</v>
      </c>
      <c r="I23" s="154" t="s">
        <v>161</v>
      </c>
      <c r="J23" s="125" t="s">
        <v>162</v>
      </c>
      <c r="K23" s="951"/>
      <c r="L23" s="154" t="s">
        <v>161</v>
      </c>
      <c r="M23" s="125" t="s">
        <v>162</v>
      </c>
      <c r="N23" s="154" t="s">
        <v>161</v>
      </c>
      <c r="O23" s="125" t="s">
        <v>162</v>
      </c>
      <c r="P23" s="16" t="s">
        <v>162</v>
      </c>
      <c r="Q23" s="16" t="s">
        <v>162</v>
      </c>
      <c r="R23" s="15" t="s">
        <v>161</v>
      </c>
      <c r="S23" s="16" t="s">
        <v>162</v>
      </c>
      <c r="T23" s="77" t="s">
        <v>161</v>
      </c>
      <c r="U23" s="78" t="s">
        <v>162</v>
      </c>
      <c r="V23" s="218" t="s">
        <v>161</v>
      </c>
      <c r="W23" s="209" t="s">
        <v>162</v>
      </c>
      <c r="X23" s="218" t="s">
        <v>161</v>
      </c>
      <c r="Y23" s="209" t="s">
        <v>162</v>
      </c>
      <c r="Z23" s="218" t="s">
        <v>161</v>
      </c>
      <c r="AA23" s="209" t="s">
        <v>162</v>
      </c>
    </row>
    <row r="24" spans="1:28" x14ac:dyDescent="0.25">
      <c r="A24" s="900" t="s">
        <v>199</v>
      </c>
      <c r="B24" s="138"/>
      <c r="C24" s="108">
        <v>30613581.98</v>
      </c>
      <c r="D24" s="3" t="s">
        <v>252</v>
      </c>
      <c r="E24" s="55"/>
      <c r="F24" s="55"/>
      <c r="G24" s="132"/>
      <c r="H24" s="132"/>
      <c r="I24" s="55"/>
      <c r="J24" s="55"/>
      <c r="K24" s="55"/>
      <c r="L24" s="55"/>
      <c r="M24" s="55"/>
      <c r="N24" s="55"/>
      <c r="O24" s="55"/>
      <c r="P24" s="55"/>
      <c r="Q24" s="132"/>
      <c r="R24" s="132"/>
      <c r="S24" s="132"/>
      <c r="T24" s="316">
        <v>4</v>
      </c>
      <c r="U24" s="318">
        <v>25170120.109999999</v>
      </c>
      <c r="V24" s="318">
        <v>0</v>
      </c>
      <c r="W24" s="318">
        <v>0</v>
      </c>
      <c r="X24" s="318">
        <v>0</v>
      </c>
      <c r="Y24" s="318">
        <v>0</v>
      </c>
      <c r="Z24" s="318">
        <v>1</v>
      </c>
      <c r="AA24" s="318">
        <v>25170120.109999999</v>
      </c>
      <c r="AB24" s="12"/>
    </row>
    <row r="25" spans="1:28" s="23" customFormat="1" ht="22.5" customHeight="1" x14ac:dyDescent="0.25">
      <c r="A25" s="902"/>
      <c r="B25" s="57">
        <v>63725</v>
      </c>
      <c r="C25" s="37">
        <v>16218739</v>
      </c>
      <c r="D25" s="3" t="s">
        <v>253</v>
      </c>
      <c r="E25" s="27">
        <v>1</v>
      </c>
      <c r="F25" s="37">
        <v>16218739</v>
      </c>
      <c r="G25" s="49">
        <v>0</v>
      </c>
      <c r="H25" s="49">
        <v>0</v>
      </c>
      <c r="I25" s="27">
        <v>1</v>
      </c>
      <c r="J25" s="37">
        <v>16218739</v>
      </c>
      <c r="K25" s="27">
        <v>1</v>
      </c>
      <c r="L25" s="22">
        <v>1</v>
      </c>
      <c r="M25" s="37">
        <v>16218739</v>
      </c>
      <c r="N25" s="25">
        <v>0</v>
      </c>
      <c r="O25" s="25">
        <v>0</v>
      </c>
      <c r="P25" s="22">
        <f>J25-M25</f>
        <v>0</v>
      </c>
      <c r="Q25" s="72">
        <v>0</v>
      </c>
      <c r="R25" s="27">
        <v>3</v>
      </c>
      <c r="S25" s="299">
        <v>16218704.93</v>
      </c>
      <c r="T25" s="299">
        <v>2</v>
      </c>
      <c r="U25" s="11">
        <v>14596865.1</v>
      </c>
      <c r="V25" s="318">
        <v>0</v>
      </c>
      <c r="W25" s="318">
        <v>0</v>
      </c>
      <c r="X25" s="11">
        <v>1</v>
      </c>
      <c r="Y25" s="11">
        <v>14596865.1</v>
      </c>
      <c r="Z25" s="11">
        <v>0</v>
      </c>
      <c r="AA25" s="11">
        <v>0</v>
      </c>
      <c r="AB25" s="12"/>
    </row>
    <row r="26" spans="1:28" x14ac:dyDescent="0.25">
      <c r="A26" s="19" t="s">
        <v>200</v>
      </c>
      <c r="B26" s="144"/>
      <c r="C26" s="20">
        <f>C24+C25</f>
        <v>46832320.980000004</v>
      </c>
      <c r="D26" s="20"/>
      <c r="E26" s="20">
        <f t="shared" ref="E26:Q26" si="4">SUM(E25:E25)</f>
        <v>1</v>
      </c>
      <c r="F26" s="20">
        <f t="shared" si="4"/>
        <v>16218739</v>
      </c>
      <c r="G26" s="20">
        <f t="shared" si="4"/>
        <v>0</v>
      </c>
      <c r="H26" s="20">
        <f t="shared" si="4"/>
        <v>0</v>
      </c>
      <c r="I26" s="20">
        <f t="shared" si="4"/>
        <v>1</v>
      </c>
      <c r="J26" s="20">
        <f t="shared" si="4"/>
        <v>16218739</v>
      </c>
      <c r="K26" s="20">
        <f t="shared" si="4"/>
        <v>1</v>
      </c>
      <c r="L26" s="20">
        <f t="shared" si="4"/>
        <v>1</v>
      </c>
      <c r="M26" s="20">
        <f t="shared" si="4"/>
        <v>16218739</v>
      </c>
      <c r="N26" s="20">
        <f t="shared" si="4"/>
        <v>0</v>
      </c>
      <c r="O26" s="20">
        <f t="shared" si="4"/>
        <v>0</v>
      </c>
      <c r="P26" s="20">
        <f t="shared" si="4"/>
        <v>0</v>
      </c>
      <c r="Q26" s="20">
        <f t="shared" si="4"/>
        <v>0</v>
      </c>
      <c r="R26" s="20">
        <f>SUM(R24:R25)</f>
        <v>3</v>
      </c>
      <c r="S26" s="20">
        <f>SUM(S24:S25)</f>
        <v>16218704.93</v>
      </c>
      <c r="T26" s="20">
        <f>SUM(T24:T25)</f>
        <v>6</v>
      </c>
      <c r="U26" s="20">
        <f>SUM(U24:U25)</f>
        <v>39766985.210000001</v>
      </c>
      <c r="V26" s="20">
        <f t="shared" ref="V26:AA26" si="5">SUM(V24:V25)</f>
        <v>0</v>
      </c>
      <c r="W26" s="20">
        <f t="shared" si="5"/>
        <v>0</v>
      </c>
      <c r="X26" s="20">
        <f t="shared" si="5"/>
        <v>1</v>
      </c>
      <c r="Y26" s="20">
        <f t="shared" si="5"/>
        <v>14596865.1</v>
      </c>
      <c r="Z26" s="20">
        <f t="shared" si="5"/>
        <v>1</v>
      </c>
      <c r="AA26" s="20">
        <f t="shared" si="5"/>
        <v>25170120.109999999</v>
      </c>
      <c r="AB26" s="12"/>
    </row>
    <row r="27" spans="1:28" ht="15" customHeight="1" x14ac:dyDescent="0.25">
      <c r="A27" s="155" t="s">
        <v>390</v>
      </c>
      <c r="B27" s="134"/>
      <c r="C27" s="134"/>
      <c r="D27" s="134"/>
      <c r="E27" s="134"/>
      <c r="F27" s="134"/>
      <c r="G27" s="134"/>
      <c r="H27" s="134"/>
      <c r="I27" s="134"/>
      <c r="J27" s="134"/>
      <c r="K27" s="134"/>
      <c r="L27" s="134"/>
      <c r="M27" s="134"/>
      <c r="N27" s="134"/>
      <c r="O27" s="134"/>
      <c r="P27" s="134"/>
      <c r="Q27" s="134"/>
      <c r="R27" s="134"/>
      <c r="S27" s="134"/>
      <c r="V27"/>
      <c r="AB27" s="12"/>
    </row>
    <row r="28" spans="1:28" ht="15.6" customHeight="1" x14ac:dyDescent="0.25">
      <c r="A28" s="935" t="s">
        <v>744</v>
      </c>
      <c r="B28" s="935"/>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5"/>
      <c r="AA28" s="935"/>
      <c r="AB28" s="12"/>
    </row>
    <row r="29" spans="1:28" ht="22.15" customHeight="1" x14ac:dyDescent="0.25">
      <c r="A29" s="982" t="s">
        <v>479</v>
      </c>
      <c r="B29" s="982"/>
      <c r="C29" s="982"/>
      <c r="D29" s="982"/>
      <c r="E29" s="982"/>
      <c r="F29" s="982"/>
      <c r="G29" s="982"/>
      <c r="H29" s="982"/>
      <c r="I29" s="982"/>
      <c r="J29" s="982"/>
      <c r="K29" s="982"/>
      <c r="L29" s="982"/>
      <c r="M29" s="982"/>
      <c r="N29" s="982"/>
      <c r="O29" s="982"/>
      <c r="P29" s="982"/>
      <c r="Q29" s="982"/>
      <c r="R29" s="982"/>
      <c r="S29" s="982"/>
      <c r="T29" s="982"/>
      <c r="U29" s="982"/>
      <c r="AB29" s="12"/>
    </row>
    <row r="30" spans="1:28" s="12" customFormat="1" ht="28.9" customHeight="1" x14ac:dyDescent="0.2">
      <c r="A30" s="943" t="s">
        <v>156</v>
      </c>
      <c r="B30" s="943" t="s">
        <v>282</v>
      </c>
      <c r="C30" s="943" t="s">
        <v>157</v>
      </c>
      <c r="D30" s="943" t="s">
        <v>158</v>
      </c>
      <c r="E30" s="937" t="s">
        <v>337</v>
      </c>
      <c r="F30" s="938"/>
      <c r="G30" s="937" t="s">
        <v>277</v>
      </c>
      <c r="H30" s="938"/>
      <c r="I30" s="937" t="s">
        <v>159</v>
      </c>
      <c r="J30" s="938"/>
      <c r="K30" s="947" t="s">
        <v>749</v>
      </c>
      <c r="L30" s="948"/>
      <c r="M30" s="948"/>
      <c r="N30" s="948"/>
      <c r="O30" s="949"/>
      <c r="P30" s="943" t="s">
        <v>250</v>
      </c>
      <c r="Q30" s="943" t="s">
        <v>625</v>
      </c>
      <c r="R30" s="937" t="s">
        <v>750</v>
      </c>
      <c r="S30" s="938"/>
      <c r="T30" s="937" t="s">
        <v>751</v>
      </c>
      <c r="U30" s="938"/>
      <c r="V30" s="936" t="s">
        <v>751</v>
      </c>
      <c r="W30" s="936"/>
      <c r="X30" s="936"/>
      <c r="Y30" s="936"/>
      <c r="Z30" s="936"/>
      <c r="AA30" s="936"/>
    </row>
    <row r="31" spans="1:28" s="12" customFormat="1" ht="14.45" customHeight="1" x14ac:dyDescent="0.2">
      <c r="A31" s="944"/>
      <c r="B31" s="944"/>
      <c r="C31" s="944"/>
      <c r="D31" s="944"/>
      <c r="E31" s="939"/>
      <c r="F31" s="940"/>
      <c r="G31" s="939"/>
      <c r="H31" s="940"/>
      <c r="I31" s="939"/>
      <c r="J31" s="940"/>
      <c r="K31" s="947" t="s">
        <v>160</v>
      </c>
      <c r="L31" s="948"/>
      <c r="M31" s="949"/>
      <c r="N31" s="937" t="s">
        <v>626</v>
      </c>
      <c r="O31" s="938"/>
      <c r="P31" s="944"/>
      <c r="Q31" s="944"/>
      <c r="R31" s="939"/>
      <c r="S31" s="940"/>
      <c r="T31" s="939"/>
      <c r="U31" s="940"/>
      <c r="V31" s="936"/>
      <c r="W31" s="936"/>
      <c r="X31" s="936"/>
      <c r="Y31" s="936"/>
      <c r="Z31" s="936"/>
      <c r="AA31" s="936"/>
    </row>
    <row r="32" spans="1:28" s="12" customFormat="1" ht="20.25" customHeight="1" x14ac:dyDescent="0.2">
      <c r="A32" s="944"/>
      <c r="B32" s="944"/>
      <c r="C32" s="944"/>
      <c r="D32" s="944"/>
      <c r="E32" s="941"/>
      <c r="F32" s="942"/>
      <c r="G32" s="941"/>
      <c r="H32" s="942"/>
      <c r="I32" s="941"/>
      <c r="J32" s="942"/>
      <c r="K32" s="950" t="s">
        <v>161</v>
      </c>
      <c r="L32" s="947" t="s">
        <v>247</v>
      </c>
      <c r="M32" s="949"/>
      <c r="N32" s="941"/>
      <c r="O32" s="942"/>
      <c r="P32" s="946"/>
      <c r="Q32" s="946"/>
      <c r="R32" s="941"/>
      <c r="S32" s="942"/>
      <c r="T32" s="941"/>
      <c r="U32" s="942"/>
      <c r="V32" s="936" t="s">
        <v>584</v>
      </c>
      <c r="W32" s="936"/>
      <c r="X32" s="936" t="s">
        <v>585</v>
      </c>
      <c r="Y32" s="936"/>
      <c r="Z32" s="936" t="s">
        <v>586</v>
      </c>
      <c r="AA32" s="936"/>
    </row>
    <row r="33" spans="1:28" s="12" customFormat="1" ht="21" x14ac:dyDescent="0.2">
      <c r="A33" s="945"/>
      <c r="B33" s="945"/>
      <c r="C33" s="945"/>
      <c r="D33" s="945"/>
      <c r="E33" s="154" t="s">
        <v>161</v>
      </c>
      <c r="F33" s="125" t="s">
        <v>162</v>
      </c>
      <c r="G33" s="15" t="s">
        <v>161</v>
      </c>
      <c r="H33" s="16" t="s">
        <v>162</v>
      </c>
      <c r="I33" s="154" t="s">
        <v>161</v>
      </c>
      <c r="J33" s="125" t="s">
        <v>162</v>
      </c>
      <c r="K33" s="951"/>
      <c r="L33" s="154" t="s">
        <v>161</v>
      </c>
      <c r="M33" s="125" t="s">
        <v>162</v>
      </c>
      <c r="N33" s="154" t="s">
        <v>161</v>
      </c>
      <c r="O33" s="125" t="s">
        <v>162</v>
      </c>
      <c r="P33" s="16" t="s">
        <v>162</v>
      </c>
      <c r="Q33" s="16" t="s">
        <v>162</v>
      </c>
      <c r="R33" s="15" t="s">
        <v>161</v>
      </c>
      <c r="S33" s="16" t="s">
        <v>162</v>
      </c>
      <c r="T33" s="77" t="s">
        <v>161</v>
      </c>
      <c r="U33" s="78" t="s">
        <v>162</v>
      </c>
      <c r="V33" s="218" t="s">
        <v>161</v>
      </c>
      <c r="W33" s="209" t="s">
        <v>162</v>
      </c>
      <c r="X33" s="218" t="s">
        <v>161</v>
      </c>
      <c r="Y33" s="209" t="s">
        <v>162</v>
      </c>
      <c r="Z33" s="218" t="s">
        <v>161</v>
      </c>
      <c r="AA33" s="209" t="s">
        <v>162</v>
      </c>
    </row>
    <row r="34" spans="1:28" ht="22.15" customHeight="1" x14ac:dyDescent="0.25">
      <c r="A34" s="983" t="s">
        <v>481</v>
      </c>
      <c r="B34" s="984"/>
      <c r="C34" s="984"/>
      <c r="D34" s="985"/>
      <c r="E34" s="132"/>
      <c r="F34" s="55"/>
      <c r="G34" s="55"/>
      <c r="H34" s="55"/>
      <c r="I34" s="55"/>
      <c r="J34" s="55"/>
      <c r="K34" s="55"/>
      <c r="L34" s="3">
        <v>1</v>
      </c>
      <c r="M34" s="22">
        <v>3134301.83</v>
      </c>
      <c r="N34" s="55"/>
      <c r="O34" s="55"/>
      <c r="P34" s="55"/>
      <c r="Q34" s="132"/>
      <c r="R34" s="55"/>
      <c r="S34" s="55"/>
      <c r="T34" s="3">
        <v>1</v>
      </c>
      <c r="U34" s="22">
        <v>3134301.83</v>
      </c>
      <c r="V34" s="22">
        <v>0</v>
      </c>
      <c r="W34" s="22">
        <v>0</v>
      </c>
      <c r="X34" s="22">
        <v>0</v>
      </c>
      <c r="Y34" s="22">
        <v>0</v>
      </c>
      <c r="Z34" s="22">
        <v>1</v>
      </c>
      <c r="AA34" s="22">
        <v>3134301.83</v>
      </c>
    </row>
    <row r="35" spans="1:28" x14ac:dyDescent="0.25">
      <c r="A35" s="19" t="s">
        <v>480</v>
      </c>
      <c r="B35" s="144"/>
      <c r="C35" s="20">
        <f>SUM(C34:C34)</f>
        <v>0</v>
      </c>
      <c r="D35" s="20"/>
      <c r="E35" s="20">
        <f>SUM(E34:E34)</f>
        <v>0</v>
      </c>
      <c r="F35" s="20">
        <f>SUM(F34:F34)</f>
        <v>0</v>
      </c>
      <c r="G35" s="20">
        <f>G34</f>
        <v>0</v>
      </c>
      <c r="H35" s="20">
        <f>H34</f>
        <v>0</v>
      </c>
      <c r="I35" s="20">
        <f t="shared" ref="I35:AA35" si="6">SUM(I34:I34)</f>
        <v>0</v>
      </c>
      <c r="J35" s="20">
        <f t="shared" si="6"/>
        <v>0</v>
      </c>
      <c r="K35" s="20">
        <f t="shared" si="6"/>
        <v>0</v>
      </c>
      <c r="L35" s="20">
        <f t="shared" si="6"/>
        <v>1</v>
      </c>
      <c r="M35" s="20">
        <f t="shared" si="6"/>
        <v>3134301.83</v>
      </c>
      <c r="N35" s="20">
        <f t="shared" si="6"/>
        <v>0</v>
      </c>
      <c r="O35" s="20">
        <f t="shared" si="6"/>
        <v>0</v>
      </c>
      <c r="P35" s="20">
        <f t="shared" si="6"/>
        <v>0</v>
      </c>
      <c r="Q35" s="20">
        <f t="shared" si="6"/>
        <v>0</v>
      </c>
      <c r="R35" s="20">
        <f t="shared" si="6"/>
        <v>0</v>
      </c>
      <c r="S35" s="20">
        <f t="shared" si="6"/>
        <v>0</v>
      </c>
      <c r="T35" s="20">
        <f t="shared" si="6"/>
        <v>1</v>
      </c>
      <c r="U35" s="20">
        <f t="shared" si="6"/>
        <v>3134301.83</v>
      </c>
      <c r="V35" s="20">
        <f t="shared" si="6"/>
        <v>0</v>
      </c>
      <c r="W35" s="20">
        <f t="shared" si="6"/>
        <v>0</v>
      </c>
      <c r="X35" s="20">
        <f t="shared" si="6"/>
        <v>0</v>
      </c>
      <c r="Y35" s="20">
        <f t="shared" si="6"/>
        <v>0</v>
      </c>
      <c r="Z35" s="20">
        <f t="shared" si="6"/>
        <v>1</v>
      </c>
      <c r="AA35" s="20">
        <f t="shared" si="6"/>
        <v>3134301.83</v>
      </c>
    </row>
    <row r="37" spans="1:28" ht="11.45" customHeight="1" x14ac:dyDescent="0.25">
      <c r="A37" s="982" t="s">
        <v>201</v>
      </c>
      <c r="B37" s="982"/>
      <c r="C37" s="982"/>
      <c r="D37" s="982"/>
      <c r="E37" s="982"/>
      <c r="F37" s="982"/>
      <c r="G37" s="982"/>
      <c r="H37" s="982"/>
      <c r="I37" s="982"/>
      <c r="J37" s="982"/>
      <c r="K37" s="982"/>
      <c r="L37" s="982"/>
      <c r="M37" s="982"/>
      <c r="N37" s="982"/>
      <c r="O37" s="982"/>
      <c r="P37" s="982"/>
      <c r="Q37" s="982"/>
      <c r="R37" s="982"/>
      <c r="S37" s="982"/>
      <c r="T37" s="982"/>
      <c r="U37" s="982"/>
    </row>
    <row r="38" spans="1:28" s="12" customFormat="1" ht="28.9" customHeight="1" x14ac:dyDescent="0.2">
      <c r="A38" s="943" t="s">
        <v>156</v>
      </c>
      <c r="B38" s="943" t="s">
        <v>282</v>
      </c>
      <c r="C38" s="943" t="s">
        <v>157</v>
      </c>
      <c r="D38" s="943" t="s">
        <v>158</v>
      </c>
      <c r="E38" s="937" t="s">
        <v>337</v>
      </c>
      <c r="F38" s="938"/>
      <c r="G38" s="937" t="s">
        <v>277</v>
      </c>
      <c r="H38" s="938"/>
      <c r="I38" s="937" t="s">
        <v>159</v>
      </c>
      <c r="J38" s="938"/>
      <c r="K38" s="947" t="s">
        <v>752</v>
      </c>
      <c r="L38" s="948"/>
      <c r="M38" s="948"/>
      <c r="N38" s="948"/>
      <c r="O38" s="949"/>
      <c r="P38" s="943" t="s">
        <v>250</v>
      </c>
      <c r="Q38" s="943" t="s">
        <v>625</v>
      </c>
      <c r="R38" s="937" t="s">
        <v>750</v>
      </c>
      <c r="S38" s="938"/>
      <c r="T38" s="937" t="s">
        <v>751</v>
      </c>
      <c r="U38" s="938"/>
      <c r="V38" s="936" t="s">
        <v>751</v>
      </c>
      <c r="W38" s="936"/>
      <c r="X38" s="936"/>
      <c r="Y38" s="936"/>
      <c r="Z38" s="936"/>
      <c r="AA38" s="936"/>
    </row>
    <row r="39" spans="1:28" s="12" customFormat="1" ht="14.45" customHeight="1" x14ac:dyDescent="0.2">
      <c r="A39" s="944"/>
      <c r="B39" s="944"/>
      <c r="C39" s="944"/>
      <c r="D39" s="944"/>
      <c r="E39" s="939"/>
      <c r="F39" s="940"/>
      <c r="G39" s="939"/>
      <c r="H39" s="940"/>
      <c r="I39" s="939"/>
      <c r="J39" s="940"/>
      <c r="K39" s="947" t="s">
        <v>160</v>
      </c>
      <c r="L39" s="948"/>
      <c r="M39" s="949"/>
      <c r="N39" s="937" t="s">
        <v>626</v>
      </c>
      <c r="O39" s="938"/>
      <c r="P39" s="944"/>
      <c r="Q39" s="944"/>
      <c r="R39" s="939"/>
      <c r="S39" s="940"/>
      <c r="T39" s="939"/>
      <c r="U39" s="940"/>
      <c r="V39" s="936"/>
      <c r="W39" s="936"/>
      <c r="X39" s="936"/>
      <c r="Y39" s="936"/>
      <c r="Z39" s="936"/>
      <c r="AA39" s="936"/>
    </row>
    <row r="40" spans="1:28" s="12" customFormat="1" ht="20.25" customHeight="1" x14ac:dyDescent="0.2">
      <c r="A40" s="944"/>
      <c r="B40" s="944"/>
      <c r="C40" s="944"/>
      <c r="D40" s="944"/>
      <c r="E40" s="941"/>
      <c r="F40" s="942"/>
      <c r="G40" s="941"/>
      <c r="H40" s="942"/>
      <c r="I40" s="941"/>
      <c r="J40" s="942"/>
      <c r="K40" s="950" t="s">
        <v>161</v>
      </c>
      <c r="L40" s="947" t="s">
        <v>247</v>
      </c>
      <c r="M40" s="949"/>
      <c r="N40" s="941"/>
      <c r="O40" s="942"/>
      <c r="P40" s="946"/>
      <c r="Q40" s="946"/>
      <c r="R40" s="941"/>
      <c r="S40" s="942"/>
      <c r="T40" s="941"/>
      <c r="U40" s="942"/>
      <c r="V40" s="936" t="s">
        <v>584</v>
      </c>
      <c r="W40" s="936"/>
      <c r="X40" s="936" t="s">
        <v>585</v>
      </c>
      <c r="Y40" s="936"/>
      <c r="Z40" s="936" t="s">
        <v>586</v>
      </c>
      <c r="AA40" s="936"/>
    </row>
    <row r="41" spans="1:28" s="12" customFormat="1" ht="21" x14ac:dyDescent="0.2">
      <c r="A41" s="945"/>
      <c r="B41" s="945"/>
      <c r="C41" s="945"/>
      <c r="D41" s="945"/>
      <c r="E41" s="154" t="s">
        <v>161</v>
      </c>
      <c r="F41" s="125" t="s">
        <v>162</v>
      </c>
      <c r="G41" s="15" t="s">
        <v>161</v>
      </c>
      <c r="H41" s="16" t="s">
        <v>162</v>
      </c>
      <c r="I41" s="154" t="s">
        <v>161</v>
      </c>
      <c r="J41" s="125" t="s">
        <v>162</v>
      </c>
      <c r="K41" s="951"/>
      <c r="L41" s="154" t="s">
        <v>161</v>
      </c>
      <c r="M41" s="125" t="s">
        <v>162</v>
      </c>
      <c r="N41" s="154" t="s">
        <v>161</v>
      </c>
      <c r="O41" s="125" t="s">
        <v>162</v>
      </c>
      <c r="P41" s="16" t="s">
        <v>162</v>
      </c>
      <c r="Q41" s="16" t="s">
        <v>162</v>
      </c>
      <c r="R41" s="15" t="s">
        <v>161</v>
      </c>
      <c r="S41" s="16" t="s">
        <v>162</v>
      </c>
      <c r="T41" s="77" t="s">
        <v>161</v>
      </c>
      <c r="U41" s="78" t="s">
        <v>162</v>
      </c>
      <c r="V41" s="218" t="s">
        <v>161</v>
      </c>
      <c r="W41" s="209" t="s">
        <v>162</v>
      </c>
      <c r="X41" s="218" t="s">
        <v>161</v>
      </c>
      <c r="Y41" s="209" t="s">
        <v>162</v>
      </c>
      <c r="Z41" s="218" t="s">
        <v>161</v>
      </c>
      <c r="AA41" s="209" t="s">
        <v>162</v>
      </c>
    </row>
    <row r="42" spans="1:28" s="23" customFormat="1" ht="33.75" x14ac:dyDescent="0.25">
      <c r="A42" s="3" t="s">
        <v>202</v>
      </c>
      <c r="B42" s="127">
        <v>22581</v>
      </c>
      <c r="C42" s="36">
        <v>736791</v>
      </c>
      <c r="D42" s="17">
        <v>43585</v>
      </c>
      <c r="E42" s="22">
        <v>19</v>
      </c>
      <c r="F42" s="33">
        <v>2890766.04</v>
      </c>
      <c r="G42" s="22">
        <v>0</v>
      </c>
      <c r="H42" s="22">
        <v>0</v>
      </c>
      <c r="I42" s="342">
        <v>3</v>
      </c>
      <c r="J42" s="580">
        <v>564394.27</v>
      </c>
      <c r="K42" s="522">
        <v>3</v>
      </c>
      <c r="L42" s="522">
        <v>3</v>
      </c>
      <c r="M42" s="522">
        <f>760643.24-196249</f>
        <v>564394.23999999999</v>
      </c>
      <c r="N42" s="25">
        <f>11+1</f>
        <v>12</v>
      </c>
      <c r="O42" s="25">
        <f>1506428.05+196249</f>
        <v>1702677.05</v>
      </c>
      <c r="P42" s="22">
        <f>J42-M42</f>
        <v>3.0000000027939677E-2</v>
      </c>
      <c r="Q42" s="72">
        <v>0</v>
      </c>
      <c r="R42" s="22">
        <v>2</v>
      </c>
      <c r="S42" s="22">
        <v>269770.02</v>
      </c>
      <c r="T42" s="22">
        <v>1</v>
      </c>
      <c r="U42" s="22">
        <v>94624.25</v>
      </c>
      <c r="V42" s="22">
        <v>1</v>
      </c>
      <c r="W42" s="22">
        <v>94624.25</v>
      </c>
      <c r="X42" s="22">
        <v>0</v>
      </c>
      <c r="Y42" s="22">
        <v>0</v>
      </c>
      <c r="Z42" s="22">
        <v>0</v>
      </c>
      <c r="AA42" s="22">
        <v>0</v>
      </c>
      <c r="AB42" s="570"/>
    </row>
    <row r="43" spans="1:28" x14ac:dyDescent="0.25">
      <c r="A43" s="19" t="s">
        <v>203</v>
      </c>
      <c r="B43" s="144"/>
      <c r="C43" s="20">
        <f>SUM(C42:C42)</f>
        <v>736791</v>
      </c>
      <c r="D43" s="20"/>
      <c r="E43" s="20">
        <f t="shared" ref="E43:U43" si="7">SUM(E42:E42)</f>
        <v>19</v>
      </c>
      <c r="F43" s="20">
        <f t="shared" si="7"/>
        <v>2890766.04</v>
      </c>
      <c r="G43" s="20">
        <f>G42</f>
        <v>0</v>
      </c>
      <c r="H43" s="20">
        <f>H42</f>
        <v>0</v>
      </c>
      <c r="I43" s="20">
        <f t="shared" si="7"/>
        <v>3</v>
      </c>
      <c r="J43" s="20">
        <f t="shared" si="7"/>
        <v>564394.27</v>
      </c>
      <c r="K43" s="20">
        <f t="shared" si="7"/>
        <v>3</v>
      </c>
      <c r="L43" s="20">
        <f t="shared" si="7"/>
        <v>3</v>
      </c>
      <c r="M43" s="20">
        <f t="shared" si="7"/>
        <v>564394.23999999999</v>
      </c>
      <c r="N43" s="20">
        <f t="shared" si="7"/>
        <v>12</v>
      </c>
      <c r="O43" s="20">
        <f t="shared" si="7"/>
        <v>1702677.05</v>
      </c>
      <c r="P43" s="20">
        <f t="shared" si="7"/>
        <v>3.0000000027939677E-2</v>
      </c>
      <c r="Q43" s="20">
        <f t="shared" si="7"/>
        <v>0</v>
      </c>
      <c r="R43" s="20">
        <f t="shared" si="7"/>
        <v>2</v>
      </c>
      <c r="S43" s="20">
        <f t="shared" si="7"/>
        <v>269770.02</v>
      </c>
      <c r="T43" s="20">
        <f t="shared" si="7"/>
        <v>1</v>
      </c>
      <c r="U43" s="20">
        <f t="shared" si="7"/>
        <v>94624.25</v>
      </c>
      <c r="V43" s="20">
        <f t="shared" ref="V43:AA43" si="8">SUM(V42:V42)</f>
        <v>1</v>
      </c>
      <c r="W43" s="20">
        <f t="shared" si="8"/>
        <v>94624.25</v>
      </c>
      <c r="X43" s="20">
        <f t="shared" si="8"/>
        <v>0</v>
      </c>
      <c r="Y43" s="20">
        <f t="shared" si="8"/>
        <v>0</v>
      </c>
      <c r="Z43" s="20">
        <f t="shared" si="8"/>
        <v>0</v>
      </c>
      <c r="AA43" s="20">
        <f t="shared" si="8"/>
        <v>0</v>
      </c>
    </row>
    <row r="44" spans="1:28" x14ac:dyDescent="0.25">
      <c r="A44" s="987" t="s">
        <v>724</v>
      </c>
      <c r="B44" s="987"/>
      <c r="C44" s="987"/>
      <c r="D44" s="987"/>
      <c r="E44" s="987"/>
      <c r="F44" s="987"/>
      <c r="G44" s="987"/>
      <c r="H44" s="987"/>
      <c r="I44" s="987"/>
      <c r="J44" s="987"/>
      <c r="K44" s="987"/>
    </row>
    <row r="45" spans="1:28" ht="9" customHeight="1" x14ac:dyDescent="0.25"/>
    <row r="46" spans="1:28" ht="25.15" customHeight="1" x14ac:dyDescent="0.25">
      <c r="A46" s="982" t="s">
        <v>204</v>
      </c>
      <c r="B46" s="982"/>
      <c r="C46" s="982"/>
      <c r="D46" s="982"/>
      <c r="E46" s="982"/>
      <c r="F46" s="982"/>
      <c r="G46" s="982"/>
      <c r="H46" s="982"/>
      <c r="I46" s="982"/>
      <c r="J46" s="982"/>
      <c r="K46" s="982"/>
      <c r="L46" s="982"/>
      <c r="M46" s="982"/>
      <c r="N46" s="982"/>
      <c r="O46" s="982"/>
      <c r="P46" s="982"/>
      <c r="Q46" s="982"/>
      <c r="R46" s="982"/>
      <c r="S46" s="982"/>
      <c r="T46" s="982"/>
      <c r="U46" s="982"/>
      <c r="V46" s="982"/>
      <c r="W46" s="982"/>
      <c r="X46" s="982"/>
      <c r="Y46" s="982"/>
      <c r="Z46" s="982"/>
      <c r="AA46" s="982"/>
    </row>
    <row r="47" spans="1:28" s="12" customFormat="1" ht="28.9" customHeight="1" x14ac:dyDescent="0.2">
      <c r="A47" s="943" t="s">
        <v>156</v>
      </c>
      <c r="B47" s="943" t="s">
        <v>282</v>
      </c>
      <c r="C47" s="943" t="s">
        <v>157</v>
      </c>
      <c r="D47" s="943" t="s">
        <v>158</v>
      </c>
      <c r="E47" s="937" t="s">
        <v>337</v>
      </c>
      <c r="F47" s="938"/>
      <c r="G47" s="937" t="s">
        <v>277</v>
      </c>
      <c r="H47" s="938"/>
      <c r="I47" s="937" t="s">
        <v>721</v>
      </c>
      <c r="J47" s="938"/>
      <c r="K47" s="947" t="s">
        <v>749</v>
      </c>
      <c r="L47" s="948"/>
      <c r="M47" s="948"/>
      <c r="N47" s="948"/>
      <c r="O47" s="949"/>
      <c r="P47" s="943" t="s">
        <v>250</v>
      </c>
      <c r="Q47" s="943" t="s">
        <v>625</v>
      </c>
      <c r="R47" s="937" t="s">
        <v>750</v>
      </c>
      <c r="S47" s="938"/>
      <c r="T47" s="937" t="s">
        <v>751</v>
      </c>
      <c r="U47" s="938"/>
      <c r="V47" s="936" t="s">
        <v>751</v>
      </c>
      <c r="W47" s="936"/>
      <c r="X47" s="936"/>
      <c r="Y47" s="936"/>
      <c r="Z47" s="936"/>
      <c r="AA47" s="936"/>
    </row>
    <row r="48" spans="1:28" s="12" customFormat="1" ht="14.45" customHeight="1" x14ac:dyDescent="0.2">
      <c r="A48" s="944"/>
      <c r="B48" s="944"/>
      <c r="C48" s="944"/>
      <c r="D48" s="944"/>
      <c r="E48" s="939"/>
      <c r="F48" s="940"/>
      <c r="G48" s="939"/>
      <c r="H48" s="940"/>
      <c r="I48" s="939"/>
      <c r="J48" s="940"/>
      <c r="K48" s="947" t="s">
        <v>160</v>
      </c>
      <c r="L48" s="948"/>
      <c r="M48" s="949"/>
      <c r="N48" s="937" t="s">
        <v>626</v>
      </c>
      <c r="O48" s="938"/>
      <c r="P48" s="944"/>
      <c r="Q48" s="944"/>
      <c r="R48" s="939"/>
      <c r="S48" s="940"/>
      <c r="T48" s="939"/>
      <c r="U48" s="940"/>
      <c r="V48" s="936"/>
      <c r="W48" s="936"/>
      <c r="X48" s="936"/>
      <c r="Y48" s="936"/>
      <c r="Z48" s="936"/>
      <c r="AA48" s="936"/>
    </row>
    <row r="49" spans="1:27" s="12" customFormat="1" ht="20.25" customHeight="1" x14ac:dyDescent="0.2">
      <c r="A49" s="944"/>
      <c r="B49" s="944"/>
      <c r="C49" s="944"/>
      <c r="D49" s="944"/>
      <c r="E49" s="941"/>
      <c r="F49" s="942"/>
      <c r="G49" s="941"/>
      <c r="H49" s="942"/>
      <c r="I49" s="941"/>
      <c r="J49" s="942"/>
      <c r="K49" s="950" t="s">
        <v>161</v>
      </c>
      <c r="L49" s="947" t="s">
        <v>247</v>
      </c>
      <c r="M49" s="949"/>
      <c r="N49" s="941"/>
      <c r="O49" s="942"/>
      <c r="P49" s="946"/>
      <c r="Q49" s="946"/>
      <c r="R49" s="941"/>
      <c r="S49" s="942"/>
      <c r="T49" s="941"/>
      <c r="U49" s="942"/>
      <c r="V49" s="936" t="s">
        <v>584</v>
      </c>
      <c r="W49" s="936"/>
      <c r="X49" s="936" t="s">
        <v>585</v>
      </c>
      <c r="Y49" s="936"/>
      <c r="Z49" s="936" t="s">
        <v>586</v>
      </c>
      <c r="AA49" s="936"/>
    </row>
    <row r="50" spans="1:27" s="12" customFormat="1" ht="21" x14ac:dyDescent="0.2">
      <c r="A50" s="945"/>
      <c r="B50" s="945"/>
      <c r="C50" s="945"/>
      <c r="D50" s="945"/>
      <c r="E50" s="154" t="s">
        <v>161</v>
      </c>
      <c r="F50" s="125" t="s">
        <v>162</v>
      </c>
      <c r="G50" s="15" t="s">
        <v>161</v>
      </c>
      <c r="H50" s="16" t="s">
        <v>162</v>
      </c>
      <c r="I50" s="154" t="s">
        <v>161</v>
      </c>
      <c r="J50" s="125" t="s">
        <v>162</v>
      </c>
      <c r="K50" s="951"/>
      <c r="L50" s="154" t="s">
        <v>161</v>
      </c>
      <c r="M50" s="125" t="s">
        <v>162</v>
      </c>
      <c r="N50" s="154" t="s">
        <v>161</v>
      </c>
      <c r="O50" s="125" t="s">
        <v>162</v>
      </c>
      <c r="P50" s="16" t="s">
        <v>162</v>
      </c>
      <c r="Q50" s="16" t="s">
        <v>162</v>
      </c>
      <c r="R50" s="15" t="s">
        <v>161</v>
      </c>
      <c r="S50" s="16" t="s">
        <v>162</v>
      </c>
      <c r="T50" s="77" t="s">
        <v>161</v>
      </c>
      <c r="U50" s="78" t="s">
        <v>162</v>
      </c>
      <c r="V50" s="218" t="s">
        <v>161</v>
      </c>
      <c r="W50" s="209" t="s">
        <v>162</v>
      </c>
      <c r="X50" s="218" t="s">
        <v>161</v>
      </c>
      <c r="Y50" s="209" t="s">
        <v>162</v>
      </c>
      <c r="Z50" s="218" t="s">
        <v>161</v>
      </c>
      <c r="AA50" s="209" t="s">
        <v>162</v>
      </c>
    </row>
    <row r="51" spans="1:27" s="23" customFormat="1" ht="45" x14ac:dyDescent="0.25">
      <c r="A51" s="35" t="s">
        <v>205</v>
      </c>
      <c r="B51" s="127">
        <v>16161</v>
      </c>
      <c r="C51" s="32">
        <v>3000000</v>
      </c>
      <c r="D51" s="2">
        <v>43361.584016203706</v>
      </c>
      <c r="E51" s="1">
        <v>54</v>
      </c>
      <c r="F51" s="301">
        <v>10258015.290000001</v>
      </c>
      <c r="G51" s="173">
        <v>0</v>
      </c>
      <c r="H51" s="173">
        <v>0</v>
      </c>
      <c r="I51" s="18">
        <v>10</v>
      </c>
      <c r="J51" s="32">
        <v>1538979.45</v>
      </c>
      <c r="K51" s="187">
        <v>7</v>
      </c>
      <c r="L51" s="187">
        <v>7</v>
      </c>
      <c r="M51" s="208">
        <v>1108557.9300000002</v>
      </c>
      <c r="N51" s="187">
        <v>19</v>
      </c>
      <c r="O51" s="129">
        <v>3689599.76</v>
      </c>
      <c r="P51" s="317">
        <f>J51-M51</f>
        <v>430421.51999999979</v>
      </c>
      <c r="Q51" s="179">
        <f>C51-J51</f>
        <v>1461020.55</v>
      </c>
      <c r="R51" s="371">
        <v>5</v>
      </c>
      <c r="S51" s="543">
        <v>796258.95</v>
      </c>
      <c r="T51" s="1">
        <v>1</v>
      </c>
      <c r="U51" s="179">
        <v>130927.22</v>
      </c>
      <c r="V51" s="22">
        <v>0</v>
      </c>
      <c r="W51" s="22">
        <v>0</v>
      </c>
      <c r="X51" s="22">
        <v>0</v>
      </c>
      <c r="Y51" s="22">
        <v>0</v>
      </c>
      <c r="Z51" s="1">
        <v>1</v>
      </c>
      <c r="AA51" s="179">
        <v>130927.22</v>
      </c>
    </row>
    <row r="52" spans="1:27" x14ac:dyDescent="0.25">
      <c r="A52" s="19" t="s">
        <v>206</v>
      </c>
      <c r="B52" s="144"/>
      <c r="C52" s="20">
        <f>SUM(C51:C51)</f>
        <v>3000000</v>
      </c>
      <c r="D52" s="20"/>
      <c r="E52" s="20">
        <f t="shared" ref="E52:AA52" si="9">SUM(E51:E51)</f>
        <v>54</v>
      </c>
      <c r="F52" s="20">
        <f t="shared" si="9"/>
        <v>10258015.290000001</v>
      </c>
      <c r="G52" s="20">
        <f t="shared" si="9"/>
        <v>0</v>
      </c>
      <c r="H52" s="20">
        <f t="shared" si="9"/>
        <v>0</v>
      </c>
      <c r="I52" s="20">
        <f t="shared" si="9"/>
        <v>10</v>
      </c>
      <c r="J52" s="20">
        <f t="shared" si="9"/>
        <v>1538979.45</v>
      </c>
      <c r="K52" s="20">
        <f t="shared" si="9"/>
        <v>7</v>
      </c>
      <c r="L52" s="20">
        <f t="shared" si="9"/>
        <v>7</v>
      </c>
      <c r="M52" s="20">
        <f t="shared" si="9"/>
        <v>1108557.9300000002</v>
      </c>
      <c r="N52" s="20">
        <f t="shared" si="9"/>
        <v>19</v>
      </c>
      <c r="O52" s="20">
        <f t="shared" si="9"/>
        <v>3689599.76</v>
      </c>
      <c r="P52" s="20">
        <f t="shared" si="9"/>
        <v>430421.51999999979</v>
      </c>
      <c r="Q52" s="20">
        <f t="shared" si="9"/>
        <v>1461020.55</v>
      </c>
      <c r="R52" s="20">
        <f t="shared" si="9"/>
        <v>5</v>
      </c>
      <c r="S52" s="20">
        <f t="shared" si="9"/>
        <v>796258.95</v>
      </c>
      <c r="T52" s="20">
        <f t="shared" si="9"/>
        <v>1</v>
      </c>
      <c r="U52" s="20">
        <f t="shared" si="9"/>
        <v>130927.22</v>
      </c>
      <c r="V52" s="20">
        <f t="shared" si="9"/>
        <v>0</v>
      </c>
      <c r="W52" s="20">
        <f t="shared" si="9"/>
        <v>0</v>
      </c>
      <c r="X52" s="20">
        <f t="shared" si="9"/>
        <v>0</v>
      </c>
      <c r="Y52" s="20">
        <f t="shared" si="9"/>
        <v>0</v>
      </c>
      <c r="Z52" s="20">
        <f t="shared" si="9"/>
        <v>1</v>
      </c>
      <c r="AA52" s="20">
        <f t="shared" si="9"/>
        <v>130927.22</v>
      </c>
    </row>
    <row r="53" spans="1:27" ht="15" customHeight="1" x14ac:dyDescent="0.25">
      <c r="A53" s="155" t="s">
        <v>390</v>
      </c>
      <c r="B53" s="134"/>
      <c r="C53" s="134"/>
      <c r="D53" s="134"/>
      <c r="E53" s="134"/>
      <c r="F53" s="134"/>
      <c r="G53" s="134"/>
      <c r="H53" s="134"/>
      <c r="I53" s="134"/>
      <c r="J53" s="134"/>
      <c r="K53" s="134"/>
      <c r="L53" s="134"/>
      <c r="M53" s="134"/>
      <c r="N53" s="134"/>
      <c r="O53" s="134"/>
      <c r="P53" s="134"/>
      <c r="Q53" s="134"/>
      <c r="R53" s="134"/>
      <c r="S53" s="134"/>
      <c r="V53"/>
    </row>
    <row r="54" spans="1:27" s="126" customFormat="1" ht="12.6" customHeight="1" x14ac:dyDescent="0.2">
      <c r="A54" s="976" t="s">
        <v>723</v>
      </c>
      <c r="B54" s="976"/>
      <c r="C54" s="976"/>
      <c r="D54" s="976"/>
      <c r="E54" s="976"/>
      <c r="F54" s="976"/>
      <c r="G54" s="976"/>
      <c r="H54" s="976"/>
      <c r="I54" s="976"/>
      <c r="J54" s="976"/>
      <c r="K54" s="976"/>
      <c r="L54" s="976"/>
      <c r="M54" s="976"/>
      <c r="N54" s="976"/>
      <c r="O54" s="976"/>
      <c r="P54" s="976"/>
      <c r="Q54" s="976"/>
      <c r="R54" s="976"/>
      <c r="S54" s="976"/>
      <c r="T54" s="976"/>
      <c r="U54" s="976"/>
      <c r="V54" s="976"/>
      <c r="W54" s="976"/>
      <c r="X54" s="976"/>
      <c r="Y54" s="976"/>
      <c r="Z54" s="976"/>
      <c r="AA54" s="976"/>
    </row>
    <row r="55" spans="1:27" s="23" customFormat="1" ht="24" customHeight="1" x14ac:dyDescent="0.25">
      <c r="A55" s="935" t="s">
        <v>744</v>
      </c>
      <c r="B55" s="935"/>
      <c r="C55" s="935"/>
      <c r="D55" s="935"/>
      <c r="E55" s="935"/>
      <c r="F55" s="935"/>
      <c r="G55" s="935"/>
      <c r="H55" s="935"/>
      <c r="I55" s="935"/>
      <c r="J55" s="935"/>
      <c r="K55" s="935"/>
      <c r="L55" s="935"/>
      <c r="M55" s="935"/>
      <c r="N55" s="935"/>
      <c r="O55" s="935"/>
      <c r="P55" s="935"/>
      <c r="Q55" s="935"/>
      <c r="R55" s="935"/>
      <c r="S55" s="935"/>
      <c r="T55" s="935"/>
      <c r="U55" s="935"/>
      <c r="V55" s="935"/>
      <c r="W55" s="935"/>
      <c r="X55" s="935"/>
      <c r="Y55" s="935"/>
      <c r="Z55" s="935"/>
      <c r="AA55" s="935"/>
    </row>
    <row r="57" spans="1:27" x14ac:dyDescent="0.25">
      <c r="O57" s="383"/>
    </row>
  </sheetData>
  <mergeCells count="133">
    <mergeCell ref="A44:K44"/>
    <mergeCell ref="A54:AA54"/>
    <mergeCell ref="A1:AA1"/>
    <mergeCell ref="I38:J40"/>
    <mergeCell ref="K38:O38"/>
    <mergeCell ref="E30:F32"/>
    <mergeCell ref="G30:H32"/>
    <mergeCell ref="I30:J32"/>
    <mergeCell ref="K30:O30"/>
    <mergeCell ref="P30:P32"/>
    <mergeCell ref="B38:B41"/>
    <mergeCell ref="A24:A25"/>
    <mergeCell ref="D38:D41"/>
    <mergeCell ref="E38:F40"/>
    <mergeCell ref="P38:P40"/>
    <mergeCell ref="G38:H40"/>
    <mergeCell ref="A37:U37"/>
    <mergeCell ref="A29:U29"/>
    <mergeCell ref="A30:A33"/>
    <mergeCell ref="A2:A5"/>
    <mergeCell ref="C2:C5"/>
    <mergeCell ref="D2:D5"/>
    <mergeCell ref="E2:F4"/>
    <mergeCell ref="I2:J4"/>
    <mergeCell ref="K40:K41"/>
    <mergeCell ref="L40:M40"/>
    <mergeCell ref="Q30:Q32"/>
    <mergeCell ref="Q38:Q40"/>
    <mergeCell ref="K21:M21"/>
    <mergeCell ref="T30:U32"/>
    <mergeCell ref="K39:M39"/>
    <mergeCell ref="R2:S4"/>
    <mergeCell ref="T2:U4"/>
    <mergeCell ref="K3:M3"/>
    <mergeCell ref="N3:O4"/>
    <mergeCell ref="K4:K5"/>
    <mergeCell ref="L4:M4"/>
    <mergeCell ref="T10:U12"/>
    <mergeCell ref="B2:B5"/>
    <mergeCell ref="G2:H4"/>
    <mergeCell ref="Q2:Q4"/>
    <mergeCell ref="B10:B13"/>
    <mergeCell ref="G10:H12"/>
    <mergeCell ref="Q10:Q12"/>
    <mergeCell ref="R20:S22"/>
    <mergeCell ref="K2:O2"/>
    <mergeCell ref="P2:P4"/>
    <mergeCell ref="K11:M11"/>
    <mergeCell ref="N11:O12"/>
    <mergeCell ref="K12:K13"/>
    <mergeCell ref="L12:M12"/>
    <mergeCell ref="Q20:Q22"/>
    <mergeCell ref="A55:AA55"/>
    <mergeCell ref="C14:C15"/>
    <mergeCell ref="A20:A23"/>
    <mergeCell ref="C20:C23"/>
    <mergeCell ref="D20:D23"/>
    <mergeCell ref="E20:F22"/>
    <mergeCell ref="N21:O22"/>
    <mergeCell ref="K22:K23"/>
    <mergeCell ref="A38:A41"/>
    <mergeCell ref="C38:C41"/>
    <mergeCell ref="T38:U40"/>
    <mergeCell ref="B20:B23"/>
    <mergeCell ref="I20:J22"/>
    <mergeCell ref="K20:O20"/>
    <mergeCell ref="T20:U22"/>
    <mergeCell ref="G20:H22"/>
    <mergeCell ref="L22:M22"/>
    <mergeCell ref="K31:M31"/>
    <mergeCell ref="N31:O32"/>
    <mergeCell ref="K32:K33"/>
    <mergeCell ref="L32:M32"/>
    <mergeCell ref="R38:S40"/>
    <mergeCell ref="P20:P22"/>
    <mergeCell ref="N39:O40"/>
    <mergeCell ref="D47:D50"/>
    <mergeCell ref="E47:F49"/>
    <mergeCell ref="I47:J49"/>
    <mergeCell ref="B47:B50"/>
    <mergeCell ref="K47:O47"/>
    <mergeCell ref="P47:P49"/>
    <mergeCell ref="R47:S49"/>
    <mergeCell ref="G47:H49"/>
    <mergeCell ref="Q47:Q49"/>
    <mergeCell ref="B30:B33"/>
    <mergeCell ref="C30:C33"/>
    <mergeCell ref="D30:D33"/>
    <mergeCell ref="A34:D34"/>
    <mergeCell ref="R30:S32"/>
    <mergeCell ref="V2:AA3"/>
    <mergeCell ref="V4:W4"/>
    <mergeCell ref="X4:Y4"/>
    <mergeCell ref="Z4:AA4"/>
    <mergeCell ref="V10:AA11"/>
    <mergeCell ref="V12:W12"/>
    <mergeCell ref="X12:Y12"/>
    <mergeCell ref="Z12:AA12"/>
    <mergeCell ref="V20:AA21"/>
    <mergeCell ref="A19:AA19"/>
    <mergeCell ref="A9:AA9"/>
    <mergeCell ref="A10:A13"/>
    <mergeCell ref="C10:C13"/>
    <mergeCell ref="D10:D13"/>
    <mergeCell ref="E10:F12"/>
    <mergeCell ref="I10:J12"/>
    <mergeCell ref="K10:O10"/>
    <mergeCell ref="P10:P12"/>
    <mergeCell ref="R10:S12"/>
    <mergeCell ref="V47:AA48"/>
    <mergeCell ref="V49:W49"/>
    <mergeCell ref="X49:Y49"/>
    <mergeCell ref="Z49:AA49"/>
    <mergeCell ref="V22:W22"/>
    <mergeCell ref="X22:Y22"/>
    <mergeCell ref="Z22:AA22"/>
    <mergeCell ref="V30:AA31"/>
    <mergeCell ref="V32:W32"/>
    <mergeCell ref="X32:Y32"/>
    <mergeCell ref="Z32:AA32"/>
    <mergeCell ref="V38:AA39"/>
    <mergeCell ref="V40:W40"/>
    <mergeCell ref="X40:Y40"/>
    <mergeCell ref="Z40:AA40"/>
    <mergeCell ref="A28:AA28"/>
    <mergeCell ref="A46:AA46"/>
    <mergeCell ref="T47:U49"/>
    <mergeCell ref="K48:M48"/>
    <mergeCell ref="N48:O49"/>
    <mergeCell ref="K49:K50"/>
    <mergeCell ref="L49:M49"/>
    <mergeCell ref="A47:A50"/>
    <mergeCell ref="C47:C50"/>
  </mergeCells>
  <pageMargins left="0.70866141732283472" right="0.70866141732283472" top="0.74803149606299213" bottom="0.74803149606299213" header="0.31496062992125984" footer="0.31496062992125984"/>
  <pageSetup paperSize="9" scale="72" orientation="landscape" r:id="rId1"/>
  <rowBreaks count="1" manualBreakCount="1">
    <brk id="28" max="2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BD46A-57D1-41F6-ACEF-6EAB6E398DAA}">
  <sheetPr>
    <pageSetUpPr fitToPage="1"/>
  </sheetPr>
  <dimension ref="A1:P26"/>
  <sheetViews>
    <sheetView view="pageBreakPreview" zoomScale="90" zoomScaleNormal="90" zoomScaleSheetLayoutView="90" workbookViewId="0">
      <selection activeCell="B4" sqref="B4:B5"/>
    </sheetView>
  </sheetViews>
  <sheetFormatPr defaultColWidth="32" defaultRowHeight="11.25" x14ac:dyDescent="0.2"/>
  <cols>
    <col min="1" max="1" width="12.42578125" style="5" customWidth="1"/>
    <col min="2" max="2" width="16.140625" style="659" customWidth="1"/>
    <col min="3" max="3" width="12.5703125" style="659" customWidth="1"/>
    <col min="4" max="4" width="14" style="659" customWidth="1"/>
    <col min="5" max="5" width="11.7109375" style="5" customWidth="1"/>
    <col min="6" max="6" width="9.140625" style="5" customWidth="1"/>
    <col min="7" max="7" width="21" style="5" customWidth="1"/>
    <col min="8" max="8" width="10.7109375" style="5" customWidth="1"/>
    <col min="9" max="9" width="15.42578125" style="5" customWidth="1"/>
    <col min="10" max="10" width="9.28515625" style="5" customWidth="1"/>
    <col min="11" max="11" width="10.5703125" style="5" customWidth="1"/>
    <col min="12" max="12" width="9.5703125" style="5" customWidth="1"/>
    <col min="13" max="13" width="14.5703125" style="5" customWidth="1"/>
    <col min="14" max="14" width="15" style="660" customWidth="1"/>
    <col min="15" max="15" width="10.7109375" style="5" customWidth="1"/>
    <col min="16" max="16" width="15.42578125" style="5" customWidth="1"/>
    <col min="17" max="16384" width="32" style="5"/>
  </cols>
  <sheetData>
    <row r="1" spans="1:16" ht="15.75" customHeight="1" x14ac:dyDescent="0.25">
      <c r="A1" s="1021" t="s">
        <v>772</v>
      </c>
      <c r="B1" s="1021"/>
      <c r="C1" s="1021"/>
      <c r="D1" s="1021"/>
      <c r="E1" s="1021"/>
      <c r="F1" s="1021"/>
      <c r="G1" s="1021"/>
      <c r="H1" s="1021"/>
      <c r="I1" s="1021"/>
      <c r="J1" s="1021"/>
      <c r="K1" s="1021"/>
      <c r="L1" s="1021"/>
      <c r="M1" s="1021"/>
      <c r="N1" s="1021"/>
      <c r="O1" s="1021"/>
    </row>
    <row r="2" spans="1:16" ht="30.75" customHeight="1" x14ac:dyDescent="0.2">
      <c r="A2" s="1016" t="s">
        <v>773</v>
      </c>
      <c r="B2" s="1023" t="s">
        <v>774</v>
      </c>
      <c r="C2" s="1024"/>
      <c r="D2" s="1016" t="s">
        <v>775</v>
      </c>
      <c r="E2" s="1016" t="s">
        <v>776</v>
      </c>
      <c r="F2" s="1013" t="s">
        <v>777</v>
      </c>
      <c r="G2" s="1013"/>
      <c r="H2" s="1013" t="s">
        <v>669</v>
      </c>
      <c r="I2" s="1013"/>
      <c r="J2" s="1013"/>
      <c r="K2" s="1013"/>
      <c r="L2" s="1013" t="s">
        <v>778</v>
      </c>
      <c r="M2" s="1013"/>
      <c r="N2" s="1013"/>
      <c r="O2" s="1013"/>
      <c r="P2" s="1013" t="s">
        <v>779</v>
      </c>
    </row>
    <row r="3" spans="1:16" ht="24" customHeight="1" x14ac:dyDescent="0.2">
      <c r="A3" s="1022"/>
      <c r="B3" s="1025"/>
      <c r="C3" s="1026"/>
      <c r="D3" s="1022"/>
      <c r="E3" s="1022"/>
      <c r="F3" s="1013"/>
      <c r="G3" s="1013"/>
      <c r="H3" s="1013"/>
      <c r="I3" s="1013"/>
      <c r="J3" s="1013"/>
      <c r="K3" s="1013"/>
      <c r="L3" s="1013"/>
      <c r="M3" s="1013"/>
      <c r="N3" s="1013"/>
      <c r="O3" s="1013"/>
      <c r="P3" s="1013"/>
    </row>
    <row r="4" spans="1:16" s="639" customFormat="1" ht="18" customHeight="1" x14ac:dyDescent="0.25">
      <c r="A4" s="1022"/>
      <c r="B4" s="1014" t="s">
        <v>895</v>
      </c>
      <c r="C4" s="1014" t="s">
        <v>781</v>
      </c>
      <c r="D4" s="1022"/>
      <c r="E4" s="1022"/>
      <c r="F4" s="1016" t="s">
        <v>782</v>
      </c>
      <c r="G4" s="1016" t="s">
        <v>783</v>
      </c>
      <c r="H4" s="1016" t="s">
        <v>784</v>
      </c>
      <c r="I4" s="1016" t="s">
        <v>783</v>
      </c>
      <c r="J4" s="1016" t="s">
        <v>785</v>
      </c>
      <c r="K4" s="1016" t="s">
        <v>786</v>
      </c>
      <c r="L4" s="1018" t="s">
        <v>780</v>
      </c>
      <c r="M4" s="1019"/>
      <c r="N4" s="1020"/>
      <c r="O4" s="1016" t="s">
        <v>781</v>
      </c>
      <c r="P4" s="1013"/>
    </row>
    <row r="5" spans="1:16" s="639" customFormat="1" ht="33" customHeight="1" x14ac:dyDescent="0.25">
      <c r="A5" s="1017"/>
      <c r="B5" s="1015"/>
      <c r="C5" s="1015"/>
      <c r="D5" s="1017"/>
      <c r="E5" s="1017"/>
      <c r="F5" s="1017"/>
      <c r="G5" s="1017"/>
      <c r="H5" s="1017"/>
      <c r="I5" s="1017"/>
      <c r="J5" s="1017"/>
      <c r="K5" s="1017"/>
      <c r="L5" s="638" t="s">
        <v>1</v>
      </c>
      <c r="M5" s="638" t="s">
        <v>2</v>
      </c>
      <c r="N5" s="640" t="s">
        <v>787</v>
      </c>
      <c r="O5" s="1017"/>
      <c r="P5" s="1013"/>
    </row>
    <row r="6" spans="1:16" s="639" customFormat="1" x14ac:dyDescent="0.25">
      <c r="A6" s="641" t="s">
        <v>305</v>
      </c>
      <c r="B6" s="642" t="s">
        <v>306</v>
      </c>
      <c r="C6" s="643" t="s">
        <v>307</v>
      </c>
      <c r="D6" s="643" t="s">
        <v>308</v>
      </c>
      <c r="E6" s="641" t="s">
        <v>309</v>
      </c>
      <c r="F6" s="643" t="s">
        <v>515</v>
      </c>
      <c r="G6" s="641" t="s">
        <v>637</v>
      </c>
      <c r="H6" s="643" t="s">
        <v>310</v>
      </c>
      <c r="I6" s="641" t="s">
        <v>788</v>
      </c>
      <c r="J6" s="643" t="s">
        <v>516</v>
      </c>
      <c r="K6" s="641" t="s">
        <v>705</v>
      </c>
      <c r="L6" s="643" t="s">
        <v>696</v>
      </c>
      <c r="M6" s="641" t="s">
        <v>789</v>
      </c>
      <c r="N6" s="641" t="s">
        <v>790</v>
      </c>
      <c r="O6" s="643" t="s">
        <v>791</v>
      </c>
      <c r="P6" s="643" t="s">
        <v>792</v>
      </c>
    </row>
    <row r="7" spans="1:16" s="639" customFormat="1" ht="23.25" customHeight="1" x14ac:dyDescent="0.25">
      <c r="A7" s="992" t="s">
        <v>793</v>
      </c>
      <c r="B7" s="995">
        <v>14967208.5583333</v>
      </c>
      <c r="C7" s="995">
        <v>7290000</v>
      </c>
      <c r="D7" s="998">
        <v>15967539.303690501</v>
      </c>
      <c r="E7" s="644" t="s">
        <v>794</v>
      </c>
      <c r="F7" s="645" t="s">
        <v>795</v>
      </c>
      <c r="G7" s="1001">
        <v>15967539.303690501</v>
      </c>
      <c r="H7" s="1004"/>
      <c r="I7" s="1005"/>
      <c r="J7" s="1005"/>
      <c r="K7" s="1006"/>
      <c r="L7" s="989">
        <v>14397742.554166701</v>
      </c>
      <c r="M7" s="989">
        <v>14397742.554166701</v>
      </c>
      <c r="N7" s="990">
        <f>+M7/L7</f>
        <v>1</v>
      </c>
      <c r="O7" s="989">
        <v>6931097.1200000001</v>
      </c>
      <c r="P7" s="989">
        <f>+C7-O7</f>
        <v>358902.87999999989</v>
      </c>
    </row>
    <row r="8" spans="1:16" s="639" customFormat="1" ht="15" customHeight="1" x14ac:dyDescent="0.25">
      <c r="A8" s="993"/>
      <c r="B8" s="996"/>
      <c r="C8" s="996"/>
      <c r="D8" s="999"/>
      <c r="E8" s="644">
        <v>2015</v>
      </c>
      <c r="F8" s="648">
        <v>716</v>
      </c>
      <c r="G8" s="1002"/>
      <c r="H8" s="1007"/>
      <c r="I8" s="1008"/>
      <c r="J8" s="1008"/>
      <c r="K8" s="1009"/>
      <c r="L8" s="989"/>
      <c r="M8" s="989"/>
      <c r="N8" s="990"/>
      <c r="O8" s="989"/>
      <c r="P8" s="989"/>
    </row>
    <row r="9" spans="1:16" s="639" customFormat="1" ht="15" customHeight="1" x14ac:dyDescent="0.25">
      <c r="A9" s="993"/>
      <c r="B9" s="996"/>
      <c r="C9" s="996"/>
      <c r="D9" s="999"/>
      <c r="E9" s="644">
        <v>2016</v>
      </c>
      <c r="F9" s="648">
        <v>540</v>
      </c>
      <c r="G9" s="1002"/>
      <c r="H9" s="1007"/>
      <c r="I9" s="1008"/>
      <c r="J9" s="1008"/>
      <c r="K9" s="1009"/>
      <c r="L9" s="989"/>
      <c r="M9" s="989"/>
      <c r="N9" s="990"/>
      <c r="O9" s="989"/>
      <c r="P9" s="989"/>
    </row>
    <row r="10" spans="1:16" s="639" customFormat="1" ht="15" customHeight="1" x14ac:dyDescent="0.25">
      <c r="A10" s="993"/>
      <c r="B10" s="996"/>
      <c r="C10" s="996"/>
      <c r="D10" s="999"/>
      <c r="E10" s="644">
        <v>2017</v>
      </c>
      <c r="F10" s="648">
        <v>403</v>
      </c>
      <c r="G10" s="1002"/>
      <c r="H10" s="1007"/>
      <c r="I10" s="1008"/>
      <c r="J10" s="1008"/>
      <c r="K10" s="1009"/>
      <c r="L10" s="989"/>
      <c r="M10" s="989"/>
      <c r="N10" s="990"/>
      <c r="O10" s="989"/>
      <c r="P10" s="989"/>
    </row>
    <row r="11" spans="1:16" s="639" customFormat="1" ht="15" customHeight="1" x14ac:dyDescent="0.25">
      <c r="A11" s="993"/>
      <c r="B11" s="996"/>
      <c r="C11" s="996"/>
      <c r="D11" s="999"/>
      <c r="E11" s="644">
        <v>2018</v>
      </c>
      <c r="F11" s="651">
        <v>351</v>
      </c>
      <c r="G11" s="1002"/>
      <c r="H11" s="1007"/>
      <c r="I11" s="1008"/>
      <c r="J11" s="1008"/>
      <c r="K11" s="1009"/>
      <c r="L11" s="989"/>
      <c r="M11" s="989"/>
      <c r="N11" s="990"/>
      <c r="O11" s="989"/>
      <c r="P11" s="989"/>
    </row>
    <row r="12" spans="1:16" s="639" customFormat="1" ht="15" customHeight="1" x14ac:dyDescent="0.25">
      <c r="A12" s="993"/>
      <c r="B12" s="996"/>
      <c r="C12" s="996"/>
      <c r="D12" s="999"/>
      <c r="E12" s="644">
        <v>2019</v>
      </c>
      <c r="F12" s="651">
        <v>351</v>
      </c>
      <c r="G12" s="1002"/>
      <c r="H12" s="1007"/>
      <c r="I12" s="1008"/>
      <c r="J12" s="1008"/>
      <c r="K12" s="1009"/>
      <c r="L12" s="989"/>
      <c r="M12" s="989"/>
      <c r="N12" s="990"/>
      <c r="O12" s="989"/>
      <c r="P12" s="989"/>
    </row>
    <row r="13" spans="1:16" s="639" customFormat="1" ht="15" customHeight="1" x14ac:dyDescent="0.25">
      <c r="A13" s="993"/>
      <c r="B13" s="996"/>
      <c r="C13" s="996"/>
      <c r="D13" s="999"/>
      <c r="E13" s="652">
        <v>2020</v>
      </c>
      <c r="F13" s="653">
        <v>351</v>
      </c>
      <c r="G13" s="1002"/>
      <c r="H13" s="1007"/>
      <c r="I13" s="1008"/>
      <c r="J13" s="1008"/>
      <c r="K13" s="1009"/>
      <c r="L13" s="989"/>
      <c r="M13" s="989"/>
      <c r="N13" s="990"/>
      <c r="O13" s="989"/>
      <c r="P13" s="989"/>
    </row>
    <row r="14" spans="1:16" s="639" customFormat="1" ht="15" customHeight="1" x14ac:dyDescent="0.25">
      <c r="A14" s="993"/>
      <c r="B14" s="996"/>
      <c r="C14" s="996"/>
      <c r="D14" s="999"/>
      <c r="E14" s="652">
        <v>2021</v>
      </c>
      <c r="F14" s="653">
        <v>163</v>
      </c>
      <c r="G14" s="1002"/>
      <c r="H14" s="1007"/>
      <c r="I14" s="1008"/>
      <c r="J14" s="1008"/>
      <c r="K14" s="1009"/>
      <c r="L14" s="989"/>
      <c r="M14" s="989"/>
      <c r="N14" s="990"/>
      <c r="O14" s="989"/>
      <c r="P14" s="989"/>
    </row>
    <row r="15" spans="1:16" s="639" customFormat="1" ht="15" customHeight="1" x14ac:dyDescent="0.25">
      <c r="A15" s="993"/>
      <c r="B15" s="996"/>
      <c r="C15" s="996"/>
      <c r="D15" s="999"/>
      <c r="E15" s="652">
        <v>2022</v>
      </c>
      <c r="F15" s="653">
        <v>152</v>
      </c>
      <c r="G15" s="1002"/>
      <c r="H15" s="1007"/>
      <c r="I15" s="1008"/>
      <c r="J15" s="1008"/>
      <c r="K15" s="1009"/>
      <c r="L15" s="989"/>
      <c r="M15" s="989"/>
      <c r="N15" s="990"/>
      <c r="O15" s="989"/>
      <c r="P15" s="989"/>
    </row>
    <row r="16" spans="1:16" s="639" customFormat="1" ht="15" customHeight="1" x14ac:dyDescent="0.25">
      <c r="A16" s="994"/>
      <c r="B16" s="997"/>
      <c r="C16" s="997"/>
      <c r="D16" s="1000"/>
      <c r="E16" s="652">
        <v>2023</v>
      </c>
      <c r="F16" s="653">
        <v>150</v>
      </c>
      <c r="G16" s="1003"/>
      <c r="H16" s="1007"/>
      <c r="I16" s="1008"/>
      <c r="J16" s="1008"/>
      <c r="K16" s="1009"/>
      <c r="L16" s="989"/>
      <c r="M16" s="989"/>
      <c r="N16" s="990"/>
      <c r="O16" s="989"/>
      <c r="P16" s="989"/>
    </row>
    <row r="17" spans="1:16" s="639" customFormat="1" ht="15.75" customHeight="1" x14ac:dyDescent="0.25">
      <c r="A17" s="991" t="s">
        <v>796</v>
      </c>
      <c r="B17" s="991"/>
      <c r="C17" s="991"/>
      <c r="D17" s="991"/>
      <c r="E17" s="991"/>
      <c r="F17" s="655">
        <f>SUM(F8:F16)</f>
        <v>3177</v>
      </c>
      <c r="G17" s="656">
        <f>SUM(G7)</f>
        <v>15967539.303690501</v>
      </c>
      <c r="H17" s="1010"/>
      <c r="I17" s="1011"/>
      <c r="J17" s="1011"/>
      <c r="K17" s="1012"/>
      <c r="L17" s="989"/>
      <c r="M17" s="989"/>
      <c r="N17" s="990"/>
      <c r="O17" s="989"/>
      <c r="P17" s="989"/>
    </row>
    <row r="19" spans="1:16" s="658" customFormat="1" x14ac:dyDescent="0.25">
      <c r="A19" s="657"/>
      <c r="B19" s="657"/>
      <c r="C19" s="657"/>
      <c r="D19" s="657"/>
      <c r="E19" s="657"/>
      <c r="F19" s="657"/>
      <c r="G19" s="657"/>
      <c r="H19" s="657"/>
      <c r="I19" s="657"/>
      <c r="J19" s="657"/>
      <c r="K19" s="657"/>
      <c r="L19" s="657"/>
      <c r="M19" s="657"/>
      <c r="N19" s="657"/>
      <c r="O19" s="657"/>
    </row>
    <row r="20" spans="1:16" x14ac:dyDescent="0.2">
      <c r="H20" s="389"/>
      <c r="I20" s="389"/>
      <c r="J20" s="389"/>
      <c r="N20" s="5"/>
      <c r="O20" s="660"/>
    </row>
    <row r="21" spans="1:16" ht="36" customHeight="1" x14ac:dyDescent="0.2">
      <c r="A21" s="988" t="s">
        <v>797</v>
      </c>
      <c r="B21" s="988"/>
      <c r="C21" s="988"/>
      <c r="D21" s="988"/>
      <c r="E21" s="988"/>
      <c r="F21" s="988"/>
      <c r="G21" s="988"/>
      <c r="H21" s="988"/>
      <c r="I21" s="988"/>
      <c r="J21" s="988"/>
      <c r="K21" s="988"/>
      <c r="L21" s="988"/>
      <c r="M21" s="988"/>
      <c r="N21" s="988"/>
      <c r="O21" s="988"/>
      <c r="P21" s="988"/>
    </row>
    <row r="24" spans="1:16" x14ac:dyDescent="0.2">
      <c r="G24" s="389"/>
    </row>
    <row r="26" spans="1:16" x14ac:dyDescent="0.2">
      <c r="G26" s="389"/>
    </row>
  </sheetData>
  <mergeCells count="32">
    <mergeCell ref="A1:O1"/>
    <mergeCell ref="A2:A5"/>
    <mergeCell ref="B2:C3"/>
    <mergeCell ref="D2:D5"/>
    <mergeCell ref="E2:E5"/>
    <mergeCell ref="F2:G3"/>
    <mergeCell ref="H2:K3"/>
    <mergeCell ref="L2:O3"/>
    <mergeCell ref="O4:O5"/>
    <mergeCell ref="P2:P5"/>
    <mergeCell ref="B4:B5"/>
    <mergeCell ref="C4:C5"/>
    <mergeCell ref="F4:F5"/>
    <mergeCell ref="G4:G5"/>
    <mergeCell ref="H4:H5"/>
    <mergeCell ref="I4:I5"/>
    <mergeCell ref="J4:J5"/>
    <mergeCell ref="K4:K5"/>
    <mergeCell ref="L4:N4"/>
    <mergeCell ref="A21:P21"/>
    <mergeCell ref="L7:L17"/>
    <mergeCell ref="M7:M17"/>
    <mergeCell ref="N7:N17"/>
    <mergeCell ref="O7:O17"/>
    <mergeCell ref="P7:P17"/>
    <mergeCell ref="A17:E17"/>
    <mergeCell ref="A7:A16"/>
    <mergeCell ref="B7:B16"/>
    <mergeCell ref="C7:C16"/>
    <mergeCell ref="D7:D16"/>
    <mergeCell ref="G7:G16"/>
    <mergeCell ref="H7:K17"/>
  </mergeCells>
  <printOptions horizontalCentered="1" verticalCentered="1"/>
  <pageMargins left="0.39370078740157483" right="0.39370078740157483" top="0.39370078740157483" bottom="0.39370078740157483" header="0.31496062992125984" footer="0.31496062992125984"/>
  <pageSetup paperSize="9" scale="66"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19"/>
  <sheetViews>
    <sheetView view="pageBreakPreview" zoomScaleNormal="100" zoomScaleSheetLayoutView="100" workbookViewId="0">
      <selection activeCell="AA15" activeCellId="2" sqref="W15 Y15 AA15"/>
    </sheetView>
  </sheetViews>
  <sheetFormatPr defaultColWidth="8.7109375" defaultRowHeight="15" x14ac:dyDescent="0.25"/>
  <cols>
    <col min="1" max="1" width="9.42578125" customWidth="1"/>
    <col min="2" max="2" width="5.7109375" customWidth="1"/>
    <col min="3" max="4" width="8.85546875" bestFit="1" customWidth="1"/>
    <col min="5" max="5" width="4.42578125" bestFit="1" customWidth="1"/>
    <col min="6" max="6" width="9.7109375" customWidth="1"/>
    <col min="7" max="7" width="3.140625" bestFit="1" customWidth="1"/>
    <col min="8" max="8" width="7.85546875" bestFit="1" customWidth="1"/>
    <col min="9" max="9" width="3.28515625" bestFit="1" customWidth="1"/>
    <col min="10" max="10" width="8.85546875" bestFit="1" customWidth="1"/>
    <col min="11" max="11" width="3.28515625" bestFit="1" customWidth="1"/>
    <col min="12" max="12" width="3.140625" bestFit="1" customWidth="1"/>
    <col min="13" max="13" width="9.5703125" bestFit="1" customWidth="1"/>
    <col min="14" max="14" width="3.28515625" bestFit="1" customWidth="1"/>
    <col min="15" max="15" width="9.5703125" bestFit="1" customWidth="1"/>
    <col min="16" max="16" width="11" customWidth="1"/>
    <col min="17" max="17" width="8.42578125" customWidth="1"/>
    <col min="18" max="18" width="3.140625" bestFit="1" customWidth="1"/>
    <col min="19" max="19" width="8.85546875" bestFit="1" customWidth="1"/>
    <col min="20" max="20" width="4.5703125" customWidth="1"/>
    <col min="21" max="21" width="8.85546875" customWidth="1"/>
    <col min="22" max="22" width="3.140625" bestFit="1" customWidth="1"/>
    <col min="24" max="24" width="3.140625" bestFit="1" customWidth="1"/>
    <col min="26" max="26" width="3.140625" bestFit="1" customWidth="1"/>
  </cols>
  <sheetData>
    <row r="1" spans="1:27" x14ac:dyDescent="0.25">
      <c r="A1" s="982" t="s">
        <v>207</v>
      </c>
      <c r="B1" s="982"/>
      <c r="C1" s="982"/>
      <c r="D1" s="982"/>
      <c r="E1" s="982"/>
      <c r="F1" s="982"/>
      <c r="G1" s="982"/>
      <c r="H1" s="982"/>
      <c r="I1" s="982"/>
      <c r="J1" s="982"/>
      <c r="K1" s="982"/>
      <c r="L1" s="982"/>
      <c r="M1" s="982"/>
      <c r="N1" s="982"/>
      <c r="O1" s="982"/>
      <c r="P1" s="982"/>
      <c r="Q1" s="982"/>
      <c r="R1" s="982"/>
      <c r="S1" s="982"/>
      <c r="T1" s="982"/>
      <c r="U1" s="982"/>
    </row>
    <row r="2" spans="1:27" s="12" customFormat="1" ht="28.9" customHeight="1" x14ac:dyDescent="0.2">
      <c r="A2" s="943" t="s">
        <v>156</v>
      </c>
      <c r="B2" s="943" t="s">
        <v>282</v>
      </c>
      <c r="C2" s="943" t="s">
        <v>157</v>
      </c>
      <c r="D2" s="943" t="s">
        <v>158</v>
      </c>
      <c r="E2" s="937" t="s">
        <v>337</v>
      </c>
      <c r="F2" s="938"/>
      <c r="G2" s="937" t="s">
        <v>277</v>
      </c>
      <c r="H2" s="938"/>
      <c r="I2" s="937" t="s">
        <v>721</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7"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7"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7"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7" s="23" customFormat="1" ht="45" x14ac:dyDescent="0.25">
      <c r="A6" s="57" t="s">
        <v>208</v>
      </c>
      <c r="B6" s="57">
        <v>23481</v>
      </c>
      <c r="C6" s="159">
        <v>10357998</v>
      </c>
      <c r="D6" s="106">
        <v>43644</v>
      </c>
      <c r="E6" s="128">
        <v>508</v>
      </c>
      <c r="F6" s="169">
        <v>70707835.090000004</v>
      </c>
      <c r="G6" s="58">
        <v>0</v>
      </c>
      <c r="H6" s="58">
        <v>0</v>
      </c>
      <c r="I6" s="159">
        <v>51</v>
      </c>
      <c r="J6" s="169">
        <v>9012083.7699999996</v>
      </c>
      <c r="K6" s="342">
        <v>47</v>
      </c>
      <c r="L6" s="342">
        <v>47</v>
      </c>
      <c r="M6" s="365">
        <v>7675062.54</v>
      </c>
      <c r="N6" s="342">
        <v>30</v>
      </c>
      <c r="O6" s="365">
        <v>5315026.51</v>
      </c>
      <c r="P6" s="522">
        <f>J6-M6</f>
        <v>1337021.2299999995</v>
      </c>
      <c r="Q6" s="342">
        <f>C6-J6</f>
        <v>1345914.2300000004</v>
      </c>
      <c r="R6" s="342">
        <v>67</v>
      </c>
      <c r="S6" s="342">
        <v>5202883.549999998</v>
      </c>
      <c r="T6" s="58">
        <v>54</v>
      </c>
      <c r="U6" s="58">
        <v>4672662.26</v>
      </c>
      <c r="V6" s="22">
        <v>10</v>
      </c>
      <c r="W6" s="22">
        <v>763057.05</v>
      </c>
      <c r="X6" s="22">
        <v>7</v>
      </c>
      <c r="Y6" s="22">
        <v>1015702.4399999998</v>
      </c>
      <c r="Z6" s="22">
        <v>18</v>
      </c>
      <c r="AA6" s="22">
        <v>2893902.77</v>
      </c>
    </row>
    <row r="7" spans="1:27" x14ac:dyDescent="0.25">
      <c r="A7" s="19" t="s">
        <v>209</v>
      </c>
      <c r="B7" s="59"/>
      <c r="C7" s="20">
        <f>SUM(C6:C6)</f>
        <v>10357998</v>
      </c>
      <c r="D7" s="20"/>
      <c r="E7" s="20">
        <f t="shared" ref="E7:AA7" si="0">SUM(E6:E6)</f>
        <v>508</v>
      </c>
      <c r="F7" s="20">
        <f t="shared" si="0"/>
        <v>70707835.090000004</v>
      </c>
      <c r="G7" s="20">
        <f t="shared" si="0"/>
        <v>0</v>
      </c>
      <c r="H7" s="20">
        <f t="shared" si="0"/>
        <v>0</v>
      </c>
      <c r="I7" s="20">
        <f t="shared" si="0"/>
        <v>51</v>
      </c>
      <c r="J7" s="20">
        <f t="shared" si="0"/>
        <v>9012083.7699999996</v>
      </c>
      <c r="K7" s="20">
        <f t="shared" si="0"/>
        <v>47</v>
      </c>
      <c r="L7" s="20">
        <f t="shared" si="0"/>
        <v>47</v>
      </c>
      <c r="M7" s="20">
        <f t="shared" si="0"/>
        <v>7675062.54</v>
      </c>
      <c r="N7" s="20">
        <f t="shared" si="0"/>
        <v>30</v>
      </c>
      <c r="O7" s="20">
        <f t="shared" si="0"/>
        <v>5315026.51</v>
      </c>
      <c r="P7" s="20">
        <f t="shared" si="0"/>
        <v>1337021.2299999995</v>
      </c>
      <c r="Q7" s="20">
        <f t="shared" si="0"/>
        <v>1345914.2300000004</v>
      </c>
      <c r="R7" s="20">
        <f t="shared" si="0"/>
        <v>67</v>
      </c>
      <c r="S7" s="20">
        <f t="shared" si="0"/>
        <v>5202883.549999998</v>
      </c>
      <c r="T7" s="20">
        <f t="shared" si="0"/>
        <v>54</v>
      </c>
      <c r="U7" s="20">
        <f t="shared" si="0"/>
        <v>4672662.26</v>
      </c>
      <c r="V7" s="20">
        <f t="shared" si="0"/>
        <v>10</v>
      </c>
      <c r="W7" s="20">
        <f t="shared" si="0"/>
        <v>763057.05</v>
      </c>
      <c r="X7" s="20">
        <f t="shared" si="0"/>
        <v>7</v>
      </c>
      <c r="Y7" s="20">
        <f t="shared" si="0"/>
        <v>1015702.4399999998</v>
      </c>
      <c r="Z7" s="20">
        <f t="shared" si="0"/>
        <v>18</v>
      </c>
      <c r="AA7" s="20">
        <f t="shared" si="0"/>
        <v>2893902.77</v>
      </c>
    </row>
    <row r="8" spans="1:27" ht="10.9" customHeight="1" x14ac:dyDescent="0.25">
      <c r="A8" s="976" t="s">
        <v>723</v>
      </c>
      <c r="B8" s="976"/>
      <c r="C8" s="976"/>
      <c r="D8" s="976"/>
      <c r="E8" s="976"/>
      <c r="F8" s="976"/>
      <c r="G8" s="976"/>
      <c r="H8" s="976"/>
      <c r="I8" s="976"/>
      <c r="J8" s="976"/>
      <c r="K8" s="976"/>
      <c r="L8" s="976"/>
      <c r="M8" s="976"/>
      <c r="N8" s="976"/>
      <c r="O8" s="976"/>
      <c r="P8" s="976"/>
      <c r="Q8" s="976"/>
      <c r="R8" s="976"/>
      <c r="S8" s="976"/>
      <c r="T8" s="976"/>
      <c r="U8" s="976"/>
      <c r="V8" s="976"/>
      <c r="W8" s="976"/>
      <c r="X8" s="976"/>
      <c r="Y8" s="976"/>
      <c r="Z8" s="976"/>
      <c r="AA8" s="976"/>
    </row>
    <row r="9" spans="1:27" ht="7.15" customHeight="1" x14ac:dyDescent="0.25"/>
    <row r="10" spans="1:27" x14ac:dyDescent="0.25">
      <c r="A10" s="982" t="s">
        <v>210</v>
      </c>
      <c r="B10" s="982"/>
      <c r="C10" s="982"/>
      <c r="D10" s="982"/>
      <c r="E10" s="982"/>
      <c r="F10" s="982"/>
      <c r="G10" s="982"/>
      <c r="H10" s="982"/>
      <c r="I10" s="982"/>
      <c r="J10" s="982"/>
      <c r="K10" s="982"/>
      <c r="L10" s="982"/>
      <c r="M10" s="982"/>
      <c r="N10" s="982"/>
      <c r="O10" s="982"/>
      <c r="P10" s="982"/>
      <c r="Q10" s="982"/>
      <c r="R10" s="982"/>
      <c r="S10" s="982"/>
      <c r="T10" s="982"/>
      <c r="U10" s="982"/>
    </row>
    <row r="11" spans="1:27" s="12" customFormat="1" ht="28.9" customHeight="1" x14ac:dyDescent="0.2">
      <c r="A11" s="943" t="s">
        <v>156</v>
      </c>
      <c r="B11" s="943" t="s">
        <v>282</v>
      </c>
      <c r="C11" s="943" t="s">
        <v>157</v>
      </c>
      <c r="D11" s="943" t="s">
        <v>158</v>
      </c>
      <c r="E11" s="937" t="s">
        <v>337</v>
      </c>
      <c r="F11" s="938"/>
      <c r="G11" s="937" t="s">
        <v>277</v>
      </c>
      <c r="H11" s="938"/>
      <c r="I11" s="937" t="s">
        <v>721</v>
      </c>
      <c r="J11" s="938"/>
      <c r="K11" s="947" t="s">
        <v>749</v>
      </c>
      <c r="L11" s="948"/>
      <c r="M11" s="948"/>
      <c r="N11" s="948"/>
      <c r="O11" s="949"/>
      <c r="P11" s="943" t="s">
        <v>250</v>
      </c>
      <c r="Q11" s="943" t="s">
        <v>625</v>
      </c>
      <c r="R11" s="937" t="s">
        <v>750</v>
      </c>
      <c r="S11" s="938"/>
      <c r="T11" s="937" t="s">
        <v>751</v>
      </c>
      <c r="U11" s="938"/>
      <c r="V11" s="936" t="s">
        <v>751</v>
      </c>
      <c r="W11" s="936"/>
      <c r="X11" s="936"/>
      <c r="Y11" s="936"/>
      <c r="Z11" s="936"/>
      <c r="AA11" s="936"/>
    </row>
    <row r="12" spans="1:27" s="12" customFormat="1" ht="14.45" customHeight="1" x14ac:dyDescent="0.2">
      <c r="A12" s="944"/>
      <c r="B12" s="944"/>
      <c r="C12" s="944"/>
      <c r="D12" s="944"/>
      <c r="E12" s="939"/>
      <c r="F12" s="940"/>
      <c r="G12" s="939"/>
      <c r="H12" s="940"/>
      <c r="I12" s="939"/>
      <c r="J12" s="940"/>
      <c r="K12" s="947" t="s">
        <v>160</v>
      </c>
      <c r="L12" s="948"/>
      <c r="M12" s="949"/>
      <c r="N12" s="937" t="s">
        <v>626</v>
      </c>
      <c r="O12" s="938"/>
      <c r="P12" s="944"/>
      <c r="Q12" s="944"/>
      <c r="R12" s="939"/>
      <c r="S12" s="940"/>
      <c r="T12" s="939"/>
      <c r="U12" s="940"/>
      <c r="V12" s="936"/>
      <c r="W12" s="936"/>
      <c r="X12" s="936"/>
      <c r="Y12" s="936"/>
      <c r="Z12" s="936"/>
      <c r="AA12" s="936"/>
    </row>
    <row r="13" spans="1:27" s="12" customFormat="1" ht="20.25" customHeight="1" x14ac:dyDescent="0.2">
      <c r="A13" s="944"/>
      <c r="B13" s="944"/>
      <c r="C13" s="944"/>
      <c r="D13" s="944"/>
      <c r="E13" s="941"/>
      <c r="F13" s="942"/>
      <c r="G13" s="941"/>
      <c r="H13" s="942"/>
      <c r="I13" s="941"/>
      <c r="J13" s="942"/>
      <c r="K13" s="950" t="s">
        <v>161</v>
      </c>
      <c r="L13" s="947" t="s">
        <v>247</v>
      </c>
      <c r="M13" s="949"/>
      <c r="N13" s="941"/>
      <c r="O13" s="942"/>
      <c r="P13" s="946"/>
      <c r="Q13" s="946"/>
      <c r="R13" s="941"/>
      <c r="S13" s="942"/>
      <c r="T13" s="941"/>
      <c r="U13" s="942"/>
      <c r="V13" s="936" t="s">
        <v>584</v>
      </c>
      <c r="W13" s="936"/>
      <c r="X13" s="936" t="s">
        <v>585</v>
      </c>
      <c r="Y13" s="936"/>
      <c r="Z13" s="936" t="s">
        <v>586</v>
      </c>
      <c r="AA13" s="936"/>
    </row>
    <row r="14" spans="1:27" s="12" customFormat="1" ht="21" x14ac:dyDescent="0.2">
      <c r="A14" s="945"/>
      <c r="B14" s="945"/>
      <c r="C14" s="945"/>
      <c r="D14" s="945"/>
      <c r="E14" s="154" t="s">
        <v>161</v>
      </c>
      <c r="F14" s="125" t="s">
        <v>162</v>
      </c>
      <c r="G14" s="15" t="s">
        <v>161</v>
      </c>
      <c r="H14" s="16" t="s">
        <v>162</v>
      </c>
      <c r="I14" s="154" t="s">
        <v>161</v>
      </c>
      <c r="J14" s="125" t="s">
        <v>162</v>
      </c>
      <c r="K14" s="951"/>
      <c r="L14" s="154" t="s">
        <v>161</v>
      </c>
      <c r="M14" s="125" t="s">
        <v>162</v>
      </c>
      <c r="N14" s="154" t="s">
        <v>161</v>
      </c>
      <c r="O14" s="125" t="s">
        <v>162</v>
      </c>
      <c r="P14" s="16" t="s">
        <v>162</v>
      </c>
      <c r="Q14" s="16" t="s">
        <v>162</v>
      </c>
      <c r="R14" s="15" t="s">
        <v>161</v>
      </c>
      <c r="S14" s="16" t="s">
        <v>162</v>
      </c>
      <c r="T14" s="77" t="s">
        <v>161</v>
      </c>
      <c r="U14" s="78" t="s">
        <v>162</v>
      </c>
      <c r="V14" s="218" t="s">
        <v>161</v>
      </c>
      <c r="W14" s="209" t="s">
        <v>162</v>
      </c>
      <c r="X14" s="218" t="s">
        <v>161</v>
      </c>
      <c r="Y14" s="209" t="s">
        <v>162</v>
      </c>
      <c r="Z14" s="218" t="s">
        <v>161</v>
      </c>
      <c r="AA14" s="209" t="s">
        <v>162</v>
      </c>
    </row>
    <row r="15" spans="1:27" s="23" customFormat="1" ht="45" x14ac:dyDescent="0.25">
      <c r="A15" s="57" t="s">
        <v>97</v>
      </c>
      <c r="B15" s="57">
        <v>17303</v>
      </c>
      <c r="C15" s="159">
        <v>5378167</v>
      </c>
      <c r="D15" s="106">
        <v>43434.999988425923</v>
      </c>
      <c r="E15" s="58">
        <v>77</v>
      </c>
      <c r="F15" s="169">
        <v>13793455.759999996</v>
      </c>
      <c r="G15" s="58">
        <v>6</v>
      </c>
      <c r="H15" s="58">
        <v>1774639.679999996</v>
      </c>
      <c r="I15" s="58">
        <v>14</v>
      </c>
      <c r="J15" s="169">
        <v>4045958.68</v>
      </c>
      <c r="K15" s="58">
        <v>12</v>
      </c>
      <c r="L15" s="58">
        <v>12</v>
      </c>
      <c r="M15" s="81">
        <v>3457568.68</v>
      </c>
      <c r="N15" s="58">
        <v>10</v>
      </c>
      <c r="O15" s="58">
        <v>2585403.23</v>
      </c>
      <c r="P15" s="25">
        <f>J15-M15</f>
        <v>588390</v>
      </c>
      <c r="Q15" s="58">
        <f>C15-J15</f>
        <v>1332208.3199999998</v>
      </c>
      <c r="R15" s="342">
        <v>30</v>
      </c>
      <c r="S15" s="342">
        <v>2946720.8999999994</v>
      </c>
      <c r="T15" s="58">
        <v>28</v>
      </c>
      <c r="U15" s="58">
        <v>2878896.8199999989</v>
      </c>
      <c r="V15" s="22">
        <v>1</v>
      </c>
      <c r="W15" s="22">
        <v>118934.11</v>
      </c>
      <c r="X15" s="22">
        <v>1</v>
      </c>
      <c r="Y15" s="22">
        <v>255143.09999999998</v>
      </c>
      <c r="Z15" s="22">
        <v>9</v>
      </c>
      <c r="AA15" s="22">
        <v>2504819.61</v>
      </c>
    </row>
    <row r="16" spans="1:27" x14ac:dyDescent="0.25">
      <c r="A16" s="19" t="s">
        <v>211</v>
      </c>
      <c r="B16" s="59"/>
      <c r="C16" s="20">
        <f>SUM(C15:C15)</f>
        <v>5378167</v>
      </c>
      <c r="D16" s="20"/>
      <c r="E16" s="20">
        <f t="shared" ref="E16:AA16" si="1">SUM(E15:E15)</f>
        <v>77</v>
      </c>
      <c r="F16" s="20">
        <f t="shared" si="1"/>
        <v>13793455.759999996</v>
      </c>
      <c r="G16" s="20">
        <f t="shared" si="1"/>
        <v>6</v>
      </c>
      <c r="H16" s="20">
        <f t="shared" si="1"/>
        <v>1774639.679999996</v>
      </c>
      <c r="I16" s="20">
        <f t="shared" si="1"/>
        <v>14</v>
      </c>
      <c r="J16" s="20">
        <f>SUM(J15:J15)</f>
        <v>4045958.68</v>
      </c>
      <c r="K16" s="20">
        <f t="shared" si="1"/>
        <v>12</v>
      </c>
      <c r="L16" s="20">
        <f t="shared" si="1"/>
        <v>12</v>
      </c>
      <c r="M16" s="20">
        <f t="shared" si="1"/>
        <v>3457568.68</v>
      </c>
      <c r="N16" s="20">
        <f t="shared" si="1"/>
        <v>10</v>
      </c>
      <c r="O16" s="20">
        <f t="shared" si="1"/>
        <v>2585403.23</v>
      </c>
      <c r="P16" s="20">
        <f t="shared" si="1"/>
        <v>588390</v>
      </c>
      <c r="Q16" s="20">
        <f t="shared" si="1"/>
        <v>1332208.3199999998</v>
      </c>
      <c r="R16" s="20">
        <f t="shared" si="1"/>
        <v>30</v>
      </c>
      <c r="S16" s="20">
        <f t="shared" si="1"/>
        <v>2946720.8999999994</v>
      </c>
      <c r="T16" s="20">
        <f t="shared" si="1"/>
        <v>28</v>
      </c>
      <c r="U16" s="20">
        <f t="shared" si="1"/>
        <v>2878896.8199999989</v>
      </c>
      <c r="V16" s="20">
        <f t="shared" si="1"/>
        <v>1</v>
      </c>
      <c r="W16" s="20">
        <f t="shared" si="1"/>
        <v>118934.11</v>
      </c>
      <c r="X16" s="20">
        <f t="shared" si="1"/>
        <v>1</v>
      </c>
      <c r="Y16" s="20">
        <f t="shared" si="1"/>
        <v>255143.09999999998</v>
      </c>
      <c r="Z16" s="20">
        <f t="shared" si="1"/>
        <v>9</v>
      </c>
      <c r="AA16" s="20">
        <f t="shared" si="1"/>
        <v>2504819.61</v>
      </c>
    </row>
    <row r="17" spans="1:27" ht="15" customHeight="1" x14ac:dyDescent="0.25">
      <c r="A17" s="210" t="s">
        <v>390</v>
      </c>
      <c r="B17" s="134"/>
      <c r="C17" s="134"/>
      <c r="D17" s="134"/>
      <c r="E17" s="134"/>
      <c r="F17" s="134"/>
      <c r="G17" s="134"/>
      <c r="H17" s="134"/>
      <c r="I17" s="134"/>
      <c r="J17" s="134"/>
      <c r="K17" s="134"/>
      <c r="L17" s="134"/>
      <c r="M17" s="134"/>
      <c r="N17" s="134"/>
      <c r="O17" s="134"/>
      <c r="P17" s="134"/>
      <c r="Q17" s="134"/>
      <c r="R17" s="134"/>
      <c r="S17" s="134"/>
    </row>
    <row r="18" spans="1:27" ht="15" customHeight="1" x14ac:dyDescent="0.25">
      <c r="A18" s="976" t="s">
        <v>723</v>
      </c>
      <c r="B18" s="976"/>
      <c r="C18" s="976"/>
      <c r="D18" s="976"/>
      <c r="E18" s="976"/>
      <c r="F18" s="976"/>
      <c r="G18" s="976"/>
      <c r="H18" s="976"/>
      <c r="I18" s="976"/>
      <c r="J18" s="976"/>
      <c r="K18" s="976"/>
      <c r="L18" s="976"/>
      <c r="M18" s="976"/>
      <c r="N18" s="976"/>
      <c r="O18" s="976"/>
      <c r="P18" s="976"/>
      <c r="Q18" s="976"/>
      <c r="R18" s="976"/>
      <c r="S18" s="976"/>
      <c r="T18" s="976"/>
      <c r="U18" s="976"/>
      <c r="V18" s="976"/>
      <c r="W18" s="976"/>
      <c r="X18" s="976"/>
      <c r="Y18" s="976"/>
      <c r="Z18" s="976"/>
      <c r="AA18" s="976"/>
    </row>
    <row r="19" spans="1:27" s="23" customFormat="1" ht="13.9" customHeight="1" x14ac:dyDescent="0.25">
      <c r="A19" s="935" t="s">
        <v>744</v>
      </c>
      <c r="B19" s="935"/>
      <c r="C19" s="935"/>
      <c r="D19" s="935"/>
      <c r="E19" s="935"/>
      <c r="F19" s="935"/>
      <c r="G19" s="935"/>
      <c r="H19" s="935"/>
      <c r="I19" s="935"/>
      <c r="J19" s="935"/>
      <c r="K19" s="935"/>
      <c r="L19" s="935"/>
      <c r="M19" s="935"/>
      <c r="N19" s="935"/>
      <c r="O19" s="935"/>
      <c r="P19" s="935"/>
      <c r="Q19" s="935"/>
      <c r="R19" s="935"/>
      <c r="S19" s="935"/>
      <c r="T19" s="935"/>
      <c r="U19" s="935"/>
      <c r="V19" s="935"/>
      <c r="W19" s="935"/>
      <c r="X19" s="935"/>
      <c r="Y19" s="935"/>
      <c r="Z19" s="935"/>
      <c r="AA19" s="935"/>
    </row>
  </sheetData>
  <mergeCells count="45">
    <mergeCell ref="A8:AA8"/>
    <mergeCell ref="A18:AA18"/>
    <mergeCell ref="P11:P13"/>
    <mergeCell ref="N12:O13"/>
    <mergeCell ref="R11:S13"/>
    <mergeCell ref="K13:K14"/>
    <mergeCell ref="L13:M13"/>
    <mergeCell ref="K12:M12"/>
    <mergeCell ref="A11:A14"/>
    <mergeCell ref="B11:B14"/>
    <mergeCell ref="C11:C14"/>
    <mergeCell ref="D11:D14"/>
    <mergeCell ref="E11:F13"/>
    <mergeCell ref="G11:H13"/>
    <mergeCell ref="I11:J13"/>
    <mergeCell ref="K11:O11"/>
    <mergeCell ref="A1:U1"/>
    <mergeCell ref="L4:M4"/>
    <mergeCell ref="D2:D5"/>
    <mergeCell ref="E2:F4"/>
    <mergeCell ref="G2:H4"/>
    <mergeCell ref="I2:J4"/>
    <mergeCell ref="K2:O2"/>
    <mergeCell ref="P2:P4"/>
    <mergeCell ref="R2:S4"/>
    <mergeCell ref="T2:U4"/>
    <mergeCell ref="K3:M3"/>
    <mergeCell ref="B2:B5"/>
    <mergeCell ref="N3:O4"/>
    <mergeCell ref="A19:AA19"/>
    <mergeCell ref="V13:W13"/>
    <mergeCell ref="X13:Y13"/>
    <mergeCell ref="Z13:AA13"/>
    <mergeCell ref="V2:AA3"/>
    <mergeCell ref="V4:W4"/>
    <mergeCell ref="X4:Y4"/>
    <mergeCell ref="Z4:AA4"/>
    <mergeCell ref="V11:AA12"/>
    <mergeCell ref="Q11:Q13"/>
    <mergeCell ref="A10:U10"/>
    <mergeCell ref="Q2:Q4"/>
    <mergeCell ref="K4:K5"/>
    <mergeCell ref="A2:A5"/>
    <mergeCell ref="C2:C5"/>
    <mergeCell ref="T11:U13"/>
  </mergeCells>
  <pageMargins left="0.51181102362204722" right="0.51181102362204722" top="0.74803149606299213" bottom="0.74803149606299213" header="0.31496062992125984" footer="0.31496062992125984"/>
  <pageSetup paperSize="9" scale="7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A11"/>
  <sheetViews>
    <sheetView view="pageBreakPreview" zoomScaleNormal="100" zoomScaleSheetLayoutView="100" workbookViewId="0">
      <selection activeCell="K2" sqref="K2:AA5"/>
    </sheetView>
  </sheetViews>
  <sheetFormatPr defaultColWidth="8.7109375" defaultRowHeight="15" x14ac:dyDescent="0.25"/>
  <cols>
    <col min="1" max="1" width="12.85546875" customWidth="1"/>
    <col min="2" max="2" width="6.28515625" customWidth="1"/>
    <col min="3" max="3" width="8" customWidth="1"/>
    <col min="4" max="4" width="8.85546875" bestFit="1" customWidth="1"/>
    <col min="5" max="5" width="4.140625" customWidth="1"/>
    <col min="6" max="6" width="8.140625" customWidth="1"/>
    <col min="7" max="7" width="4.140625" bestFit="1" customWidth="1"/>
    <col min="8" max="8" width="7.5703125" customWidth="1"/>
    <col min="9" max="9" width="4.28515625" customWidth="1"/>
    <col min="10" max="10" width="7.42578125" customWidth="1"/>
    <col min="11" max="12" width="4.7109375" customWidth="1"/>
    <col min="13" max="13" width="7.5703125" customWidth="1"/>
    <col min="14" max="14" width="3.28515625" customWidth="1"/>
    <col min="15" max="15" width="8.28515625" bestFit="1" customWidth="1"/>
    <col min="16" max="17" width="8.85546875" customWidth="1"/>
    <col min="18" max="18" width="3.7109375" customWidth="1"/>
    <col min="19" max="19" width="8.5703125" customWidth="1"/>
    <col min="20" max="20" width="4.28515625" customWidth="1"/>
    <col min="21" max="21" width="8.7109375" customWidth="1"/>
    <col min="22" max="22" width="3.140625" bestFit="1" customWidth="1"/>
    <col min="24" max="24" width="3.140625" bestFit="1" customWidth="1"/>
    <col min="26" max="26" width="3.140625" bestFit="1" customWidth="1"/>
  </cols>
  <sheetData>
    <row r="1" spans="1:27" x14ac:dyDescent="0.25">
      <c r="A1" s="14" t="s">
        <v>212</v>
      </c>
      <c r="B1" s="14"/>
    </row>
    <row r="2" spans="1:27" s="12" customFormat="1" ht="28.9" customHeight="1" x14ac:dyDescent="0.2">
      <c r="A2" s="943" t="s">
        <v>156</v>
      </c>
      <c r="B2" s="943" t="s">
        <v>282</v>
      </c>
      <c r="C2" s="943" t="s">
        <v>157</v>
      </c>
      <c r="D2" s="943" t="s">
        <v>158</v>
      </c>
      <c r="E2" s="937" t="s">
        <v>337</v>
      </c>
      <c r="F2" s="938"/>
      <c r="G2" s="937" t="s">
        <v>277</v>
      </c>
      <c r="H2" s="938"/>
      <c r="I2" s="937" t="s">
        <v>159</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7"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7"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7"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7" s="23" customFormat="1" ht="22.5" x14ac:dyDescent="0.25">
      <c r="A6" s="145" t="s">
        <v>98</v>
      </c>
      <c r="B6" s="145">
        <v>1370</v>
      </c>
      <c r="C6" s="159">
        <v>305000</v>
      </c>
      <c r="D6" s="148">
        <v>43753</v>
      </c>
      <c r="E6" s="39">
        <v>2</v>
      </c>
      <c r="F6" s="40">
        <v>578030</v>
      </c>
      <c r="G6" s="39">
        <v>0</v>
      </c>
      <c r="H6" s="3">
        <v>0</v>
      </c>
      <c r="I6" s="39">
        <v>2</v>
      </c>
      <c r="J6" s="40">
        <v>578030</v>
      </c>
      <c r="K6" s="88">
        <v>1</v>
      </c>
      <c r="L6" s="88">
        <v>1</v>
      </c>
      <c r="M6" s="227">
        <v>305000</v>
      </c>
      <c r="N6" s="88">
        <v>1</v>
      </c>
      <c r="O6" s="70">
        <v>273030</v>
      </c>
      <c r="P6" s="18">
        <v>0</v>
      </c>
      <c r="Q6" s="278">
        <v>0</v>
      </c>
      <c r="R6" s="88">
        <v>4</v>
      </c>
      <c r="S6" s="43">
        <v>305000</v>
      </c>
      <c r="T6" s="88">
        <v>4</v>
      </c>
      <c r="U6" s="43">
        <v>305000</v>
      </c>
      <c r="V6" s="22">
        <v>0</v>
      </c>
      <c r="W6" s="22">
        <v>0</v>
      </c>
      <c r="X6" s="22">
        <v>0</v>
      </c>
      <c r="Y6" s="22">
        <v>0</v>
      </c>
      <c r="Z6" s="22">
        <v>1</v>
      </c>
      <c r="AA6" s="43">
        <v>305000</v>
      </c>
    </row>
    <row r="7" spans="1:27" x14ac:dyDescent="0.25">
      <c r="A7" s="19" t="s">
        <v>213</v>
      </c>
      <c r="B7" s="59"/>
      <c r="C7" s="20">
        <f>SUM(C6:C6)</f>
        <v>305000</v>
      </c>
      <c r="D7" s="20"/>
      <c r="E7" s="20">
        <f t="shared" ref="E7:AA7" si="0">SUM(E6:E6)</f>
        <v>2</v>
      </c>
      <c r="F7" s="20">
        <f t="shared" si="0"/>
        <v>578030</v>
      </c>
      <c r="G7" s="20">
        <f t="shared" si="0"/>
        <v>0</v>
      </c>
      <c r="H7" s="20">
        <f t="shared" si="0"/>
        <v>0</v>
      </c>
      <c r="I7" s="20">
        <f t="shared" si="0"/>
        <v>2</v>
      </c>
      <c r="J7" s="20">
        <f t="shared" si="0"/>
        <v>578030</v>
      </c>
      <c r="K7" s="20">
        <f t="shared" si="0"/>
        <v>1</v>
      </c>
      <c r="L7" s="20">
        <f t="shared" si="0"/>
        <v>1</v>
      </c>
      <c r="M7" s="20">
        <f t="shared" si="0"/>
        <v>305000</v>
      </c>
      <c r="N7" s="20">
        <f t="shared" si="0"/>
        <v>1</v>
      </c>
      <c r="O7" s="20">
        <f t="shared" si="0"/>
        <v>273030</v>
      </c>
      <c r="P7" s="20">
        <f t="shared" si="0"/>
        <v>0</v>
      </c>
      <c r="Q7" s="20">
        <f t="shared" si="0"/>
        <v>0</v>
      </c>
      <c r="R7" s="20">
        <f t="shared" si="0"/>
        <v>4</v>
      </c>
      <c r="S7" s="20">
        <f t="shared" si="0"/>
        <v>305000</v>
      </c>
      <c r="T7" s="20">
        <f t="shared" si="0"/>
        <v>4</v>
      </c>
      <c r="U7" s="20">
        <f t="shared" si="0"/>
        <v>305000</v>
      </c>
      <c r="V7" s="20">
        <f t="shared" si="0"/>
        <v>0</v>
      </c>
      <c r="W7" s="20">
        <f t="shared" si="0"/>
        <v>0</v>
      </c>
      <c r="X7" s="20">
        <f t="shared" si="0"/>
        <v>0</v>
      </c>
      <c r="Y7" s="20">
        <f t="shared" si="0"/>
        <v>0</v>
      </c>
      <c r="Z7" s="20">
        <f t="shared" si="0"/>
        <v>1</v>
      </c>
      <c r="AA7" s="20">
        <f t="shared" si="0"/>
        <v>305000</v>
      </c>
    </row>
    <row r="8" spans="1:27" ht="15" customHeight="1" x14ac:dyDescent="0.25">
      <c r="A8" s="956" t="s">
        <v>412</v>
      </c>
      <c r="B8" s="956"/>
      <c r="C8" s="956"/>
      <c r="D8" s="956"/>
      <c r="E8" s="956"/>
      <c r="F8" s="956"/>
      <c r="G8" s="956"/>
      <c r="H8" s="956"/>
      <c r="I8" s="956"/>
      <c r="J8" s="956"/>
      <c r="K8" s="956"/>
      <c r="L8" s="956"/>
      <c r="M8" s="956"/>
      <c r="N8" s="956"/>
      <c r="O8" s="956"/>
      <c r="P8" s="956"/>
      <c r="Q8" s="956"/>
      <c r="R8" s="956"/>
      <c r="S8" s="956"/>
      <c r="T8" s="956"/>
      <c r="U8" s="956"/>
    </row>
    <row r="9" spans="1:27" ht="15" customHeight="1" x14ac:dyDescent="0.25">
      <c r="A9" s="210" t="s">
        <v>390</v>
      </c>
      <c r="B9" s="134"/>
      <c r="C9" s="134"/>
      <c r="D9" s="134"/>
      <c r="E9" s="134"/>
      <c r="F9" s="134"/>
      <c r="G9" s="134"/>
      <c r="H9" s="134"/>
      <c r="I9" s="134"/>
      <c r="J9" s="134"/>
      <c r="K9" s="134"/>
      <c r="L9" s="134"/>
      <c r="M9" s="134"/>
      <c r="N9" s="134"/>
      <c r="O9" s="134"/>
      <c r="P9" s="134"/>
      <c r="Q9" s="134"/>
      <c r="R9" s="134"/>
      <c r="S9" s="134"/>
    </row>
    <row r="10" spans="1:27" s="23" customFormat="1" ht="16.899999999999999" customHeight="1" x14ac:dyDescent="0.25">
      <c r="A10" s="935" t="s">
        <v>744</v>
      </c>
      <c r="B10" s="935"/>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row>
    <row r="11" spans="1:27" x14ac:dyDescent="0.25">
      <c r="A11" s="12"/>
      <c r="B11" s="12"/>
    </row>
  </sheetData>
  <mergeCells count="22">
    <mergeCell ref="L4:M4"/>
    <mergeCell ref="A2:A5"/>
    <mergeCell ref="C2:C5"/>
    <mergeCell ref="D2:D5"/>
    <mergeCell ref="Q2:Q4"/>
    <mergeCell ref="E2:F4"/>
    <mergeCell ref="A10:AA10"/>
    <mergeCell ref="I2:J4"/>
    <mergeCell ref="G2:H4"/>
    <mergeCell ref="V2:AA3"/>
    <mergeCell ref="V4:W4"/>
    <mergeCell ref="X4:Y4"/>
    <mergeCell ref="Z4:AA4"/>
    <mergeCell ref="A8:U8"/>
    <mergeCell ref="B2:B5"/>
    <mergeCell ref="K2:O2"/>
    <mergeCell ref="P2:P4"/>
    <mergeCell ref="R2:S4"/>
    <mergeCell ref="T2:U4"/>
    <mergeCell ref="K3:M3"/>
    <mergeCell ref="N3:O4"/>
    <mergeCell ref="K4:K5"/>
  </mergeCells>
  <printOptions horizontalCentered="1" verticalCentered="1"/>
  <pageMargins left="0.70866141732283472" right="0.70866141732283472" top="0.74803149606299213" bottom="0.74803149606299213" header="0.31496062992125984" footer="0.31496062992125984"/>
  <pageSetup paperSize="9"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129"/>
  <sheetViews>
    <sheetView tabSelected="1" zoomScale="98" zoomScaleNormal="98" zoomScaleSheetLayoutView="80" workbookViewId="0">
      <pane xSplit="2" ySplit="5" topLeftCell="K6" activePane="bottomRight" state="frozen"/>
      <selection activeCell="A27" sqref="A27:AA27"/>
      <selection pane="topRight" activeCell="A27" sqref="A27:AA27"/>
      <selection pane="bottomLeft" activeCell="A27" sqref="A27:AA27"/>
      <selection pane="bottomRight" activeCell="U51" sqref="U51"/>
    </sheetView>
  </sheetViews>
  <sheetFormatPr defaultColWidth="8.85546875" defaultRowHeight="15" x14ac:dyDescent="0.25"/>
  <cols>
    <col min="1" max="1" width="9.28515625" bestFit="1" customWidth="1"/>
    <col min="2" max="2" width="40.28515625" customWidth="1"/>
    <col min="3" max="3" width="17.85546875" customWidth="1"/>
    <col min="4" max="4" width="18.85546875" customWidth="1"/>
    <col min="5" max="5" width="16" style="7" customWidth="1"/>
    <col min="6" max="6" width="15" style="268" customWidth="1"/>
    <col min="7" max="7" width="11.140625" style="268" bestFit="1" customWidth="1"/>
    <col min="8" max="8" width="13.140625" style="268" customWidth="1"/>
    <col min="9" max="9" width="12" style="268" customWidth="1"/>
    <col min="10" max="10" width="13.42578125" style="268" bestFit="1" customWidth="1"/>
    <col min="11" max="11" width="13" style="162" customWidth="1"/>
    <col min="12" max="12" width="15.5703125" style="10" customWidth="1"/>
    <col min="13" max="13" width="11" style="8" customWidth="1"/>
    <col min="14" max="14" width="13.42578125" style="10" customWidth="1"/>
    <col min="15" max="15" width="15.28515625" style="10" bestFit="1" customWidth="1"/>
    <col min="16" max="16" width="13.42578125" style="9" customWidth="1"/>
    <col min="17" max="17" width="10.85546875" style="8" customWidth="1"/>
    <col min="18" max="18" width="13.28515625" style="8" customWidth="1"/>
    <col min="19" max="19" width="8.28515625" style="8" customWidth="1"/>
    <col min="20" max="20" width="12" bestFit="1" customWidth="1"/>
    <col min="21" max="21" width="15.7109375" style="23" bestFit="1" customWidth="1"/>
    <col min="22" max="16384" width="8.85546875" style="23"/>
  </cols>
  <sheetData>
    <row r="1" spans="1:21" x14ac:dyDescent="0.25">
      <c r="A1" s="805" t="s">
        <v>739</v>
      </c>
      <c r="B1" s="805"/>
      <c r="C1" s="805"/>
      <c r="D1" s="805"/>
      <c r="E1" s="805"/>
      <c r="F1" s="805"/>
      <c r="G1" s="805"/>
      <c r="H1" s="805"/>
      <c r="I1" s="805"/>
      <c r="J1" s="805"/>
      <c r="K1" s="805"/>
      <c r="L1" s="805"/>
      <c r="M1" s="805"/>
      <c r="N1" s="805"/>
      <c r="O1" s="805"/>
      <c r="P1" s="805"/>
      <c r="Q1" s="805"/>
      <c r="R1" s="805"/>
      <c r="S1" s="805"/>
      <c r="T1" s="805"/>
    </row>
    <row r="2" spans="1:21" s="270" customFormat="1" ht="24" customHeight="1" x14ac:dyDescent="0.25">
      <c r="A2" s="789" t="s">
        <v>115</v>
      </c>
      <c r="B2" s="789" t="s">
        <v>0</v>
      </c>
      <c r="C2" s="798" t="s">
        <v>691</v>
      </c>
      <c r="D2" s="799"/>
      <c r="E2" s="799"/>
      <c r="F2" s="799"/>
      <c r="G2" s="799"/>
      <c r="H2" s="799"/>
      <c r="I2" s="800"/>
      <c r="J2" s="792" t="s">
        <v>514</v>
      </c>
      <c r="K2" s="793"/>
      <c r="L2" s="777" t="s">
        <v>513</v>
      </c>
      <c r="M2" s="777" t="s">
        <v>500</v>
      </c>
      <c r="N2" s="777" t="s">
        <v>904</v>
      </c>
      <c r="O2" s="751" t="s">
        <v>738</v>
      </c>
      <c r="P2" s="751"/>
      <c r="Q2" s="751"/>
      <c r="R2" s="751"/>
      <c r="S2" s="751"/>
      <c r="T2" s="751"/>
      <c r="U2" s="778" t="s">
        <v>908</v>
      </c>
    </row>
    <row r="3" spans="1:21" s="270" customFormat="1" ht="14.45" customHeight="1" x14ac:dyDescent="0.25">
      <c r="A3" s="790"/>
      <c r="B3" s="790"/>
      <c r="C3" s="802" t="s">
        <v>512</v>
      </c>
      <c r="D3" s="803"/>
      <c r="E3" s="803"/>
      <c r="F3" s="804"/>
      <c r="G3" s="751" t="s">
        <v>703</v>
      </c>
      <c r="H3" s="751" t="s">
        <v>704</v>
      </c>
      <c r="I3" s="796" t="s">
        <v>510</v>
      </c>
      <c r="J3" s="794"/>
      <c r="K3" s="795"/>
      <c r="L3" s="778"/>
      <c r="M3" s="778"/>
      <c r="N3" s="778"/>
      <c r="O3" s="751" t="s">
        <v>1</v>
      </c>
      <c r="P3" s="751"/>
      <c r="Q3" s="751"/>
      <c r="R3" s="778" t="s">
        <v>707</v>
      </c>
      <c r="S3" s="778"/>
      <c r="T3" s="778"/>
      <c r="U3" s="778"/>
    </row>
    <row r="4" spans="1:21" s="270" customFormat="1" ht="51" customHeight="1" x14ac:dyDescent="0.25">
      <c r="A4" s="790"/>
      <c r="B4" s="790"/>
      <c r="C4" s="546" t="s">
        <v>896</v>
      </c>
      <c r="D4" s="546" t="s">
        <v>895</v>
      </c>
      <c r="E4" s="546" t="s">
        <v>897</v>
      </c>
      <c r="F4" s="546" t="s">
        <v>511</v>
      </c>
      <c r="G4" s="751"/>
      <c r="H4" s="751"/>
      <c r="I4" s="797"/>
      <c r="J4" s="520" t="s">
        <v>1</v>
      </c>
      <c r="K4" s="161" t="s">
        <v>2</v>
      </c>
      <c r="L4" s="777"/>
      <c r="M4" s="777"/>
      <c r="N4" s="777"/>
      <c r="O4" s="161" t="s">
        <v>906</v>
      </c>
      <c r="P4" s="116" t="s">
        <v>471</v>
      </c>
      <c r="Q4" s="195" t="s">
        <v>417</v>
      </c>
      <c r="R4" s="545" t="s">
        <v>906</v>
      </c>
      <c r="S4" s="545" t="s">
        <v>417</v>
      </c>
      <c r="T4" s="69" t="s">
        <v>418</v>
      </c>
      <c r="U4" s="548" t="s">
        <v>704</v>
      </c>
    </row>
    <row r="5" spans="1:21" s="270" customFormat="1" ht="17.25" customHeight="1" x14ac:dyDescent="0.25">
      <c r="A5" s="791"/>
      <c r="B5" s="791"/>
      <c r="C5" s="546" t="s">
        <v>898</v>
      </c>
      <c r="D5" s="546" t="s">
        <v>306</v>
      </c>
      <c r="E5" s="546" t="s">
        <v>307</v>
      </c>
      <c r="F5" s="546" t="s">
        <v>308</v>
      </c>
      <c r="G5" s="554" t="s">
        <v>309</v>
      </c>
      <c r="H5" s="554" t="s">
        <v>901</v>
      </c>
      <c r="I5" s="548" t="s">
        <v>637</v>
      </c>
      <c r="J5" s="554" t="s">
        <v>310</v>
      </c>
      <c r="K5" s="548" t="s">
        <v>788</v>
      </c>
      <c r="L5" s="548" t="s">
        <v>516</v>
      </c>
      <c r="M5" s="250" t="s">
        <v>902</v>
      </c>
      <c r="N5" s="557" t="s">
        <v>696</v>
      </c>
      <c r="O5" s="116" t="s">
        <v>789</v>
      </c>
      <c r="P5" s="116" t="s">
        <v>706</v>
      </c>
      <c r="Q5" s="195" t="s">
        <v>903</v>
      </c>
      <c r="R5" s="548" t="s">
        <v>792</v>
      </c>
      <c r="S5" s="548" t="s">
        <v>900</v>
      </c>
      <c r="T5" s="195" t="s">
        <v>899</v>
      </c>
      <c r="U5" s="548" t="s">
        <v>909</v>
      </c>
    </row>
    <row r="6" spans="1:21" x14ac:dyDescent="0.25">
      <c r="A6" s="91" t="s">
        <v>130</v>
      </c>
      <c r="B6" s="63" t="s">
        <v>3</v>
      </c>
      <c r="C6" s="594">
        <v>2720000</v>
      </c>
      <c r="D6" s="594">
        <v>1739927.65</v>
      </c>
      <c r="E6" s="594">
        <v>980072.35</v>
      </c>
      <c r="F6" s="594">
        <v>1305600</v>
      </c>
      <c r="G6" s="614"/>
      <c r="H6" s="594">
        <f>D6+G6</f>
        <v>1739927.65</v>
      </c>
      <c r="I6" s="593"/>
      <c r="J6" s="609">
        <v>2720000</v>
      </c>
      <c r="K6" s="556">
        <v>619844.99</v>
      </c>
      <c r="L6" s="256">
        <f>' M01-M02'!M6+K6</f>
        <v>2397371.37</v>
      </c>
      <c r="M6" s="64">
        <f>L6/(D6+G6+I6)</f>
        <v>1.3778569298556755</v>
      </c>
      <c r="N6" s="157">
        <v>619844.99</v>
      </c>
      <c r="O6" s="157">
        <f>P6+' M01-M02'!U7</f>
        <v>619844.99</v>
      </c>
      <c r="P6" s="157">
        <v>619844.99</v>
      </c>
      <c r="Q6" s="64">
        <f>O6/(D6+G6+I6)</f>
        <v>0.35624756581114164</v>
      </c>
      <c r="R6" s="256">
        <v>619844.99</v>
      </c>
      <c r="S6" s="558">
        <f>R6/H6</f>
        <v>0.35624756581114164</v>
      </c>
      <c r="T6" s="256">
        <f>O6-N6</f>
        <v>0</v>
      </c>
      <c r="U6" s="269">
        <f>H6-R6</f>
        <v>1120082.6599999999</v>
      </c>
    </row>
    <row r="7" spans="1:21" ht="22.5" x14ac:dyDescent="0.25">
      <c r="A7" s="91" t="s">
        <v>131</v>
      </c>
      <c r="B7" s="63" t="s">
        <v>5</v>
      </c>
      <c r="C7" s="594">
        <v>2654514.2819047612</v>
      </c>
      <c r="D7" s="594">
        <v>1985995.1800000002</v>
      </c>
      <c r="E7" s="594">
        <v>668519.1</v>
      </c>
      <c r="F7" s="594">
        <v>1147344.01</v>
      </c>
      <c r="G7" s="614"/>
      <c r="H7" s="594">
        <f t="shared" ref="H7:H59" si="0">D7+G7</f>
        <v>1985995.1800000002</v>
      </c>
      <c r="I7" s="593"/>
      <c r="J7" s="610">
        <v>3500000</v>
      </c>
      <c r="K7" s="615">
        <v>41741.660000000003</v>
      </c>
      <c r="L7" s="269">
        <f>K7+' M01-M02'!M16</f>
        <v>2446364.91</v>
      </c>
      <c r="M7" s="64">
        <f t="shared" ref="M7:M59" si="1">L7/(D7+G7+I7)</f>
        <v>1.2318080802190063</v>
      </c>
      <c r="N7" s="626">
        <v>1127278.5999999999</v>
      </c>
      <c r="O7" s="626">
        <f>P7+' M01-M02'!U16</f>
        <v>1412827.5999999999</v>
      </c>
      <c r="P7" s="84">
        <v>41741.660000000003</v>
      </c>
      <c r="Q7" s="64">
        <f t="shared" ref="Q7:Q59" si="2">O7/(D7+G7+I7)</f>
        <v>0.71139528143265673</v>
      </c>
      <c r="R7" s="265">
        <v>1412827.5999999999</v>
      </c>
      <c r="S7" s="558">
        <f t="shared" ref="S7:S57" si="3">R7/H7</f>
        <v>0.71139528143265673</v>
      </c>
      <c r="T7" s="256">
        <f t="shared" ref="T7:T14" si="4">O7-N7</f>
        <v>285549</v>
      </c>
      <c r="U7" s="269">
        <f t="shared" ref="U7:U59" si="5">H7-R7</f>
        <v>573167.58000000031</v>
      </c>
    </row>
    <row r="8" spans="1:21" x14ac:dyDescent="0.25">
      <c r="A8" s="91" t="s">
        <v>132</v>
      </c>
      <c r="B8" s="63" t="s">
        <v>7</v>
      </c>
      <c r="C8" s="594">
        <v>1360000</v>
      </c>
      <c r="D8" s="594">
        <v>1299579.1105158729</v>
      </c>
      <c r="E8" s="594">
        <v>60420.889484127081</v>
      </c>
      <c r="F8" s="594">
        <v>652800</v>
      </c>
      <c r="G8" s="614"/>
      <c r="H8" s="594">
        <f t="shared" si="0"/>
        <v>1299579.1105158729</v>
      </c>
      <c r="I8" s="593"/>
      <c r="J8" s="609">
        <v>1360000</v>
      </c>
      <c r="K8" s="496">
        <v>7826.93</v>
      </c>
      <c r="L8" s="108">
        <f>K8+'M03'!M14</f>
        <v>1797663.3499999999</v>
      </c>
      <c r="M8" s="64">
        <f>L8/(D8+G8+I8)</f>
        <v>1.3832658092560526</v>
      </c>
      <c r="N8" s="626">
        <v>1227352.28</v>
      </c>
      <c r="O8" s="626">
        <f>P8+'M03'!U14</f>
        <v>1259043.03</v>
      </c>
      <c r="P8" s="157">
        <v>7826.93</v>
      </c>
      <c r="Q8" s="64">
        <f t="shared" si="2"/>
        <v>0.96880830094307846</v>
      </c>
      <c r="R8" s="265">
        <v>1259043.03</v>
      </c>
      <c r="S8" s="558">
        <f t="shared" si="3"/>
        <v>0.96880830094307846</v>
      </c>
      <c r="T8" s="256">
        <f>O8-N8</f>
        <v>31690.75</v>
      </c>
      <c r="U8" s="269">
        <f t="shared" si="5"/>
        <v>40536.08051587292</v>
      </c>
    </row>
    <row r="9" spans="1:21" ht="33.75" x14ac:dyDescent="0.25">
      <c r="A9" s="91" t="s">
        <v>133</v>
      </c>
      <c r="B9" s="63" t="s">
        <v>8</v>
      </c>
      <c r="C9" s="594">
        <v>1535000.0000000002</v>
      </c>
      <c r="D9" s="594">
        <v>1383579.7172619046</v>
      </c>
      <c r="E9" s="594">
        <v>151420.28273809532</v>
      </c>
      <c r="F9" s="594">
        <v>736800</v>
      </c>
      <c r="G9" s="614"/>
      <c r="H9" s="594">
        <f t="shared" si="0"/>
        <v>1383579.7172619046</v>
      </c>
      <c r="I9" s="593"/>
      <c r="J9" s="610">
        <v>1535000</v>
      </c>
      <c r="K9" s="496">
        <v>107786.69</v>
      </c>
      <c r="L9" s="108">
        <f>K9+'M03'!M25</f>
        <v>1701460.08</v>
      </c>
      <c r="M9" s="64">
        <f t="shared" si="1"/>
        <v>1.2297521124168969</v>
      </c>
      <c r="N9" s="626">
        <v>955176.91999999993</v>
      </c>
      <c r="O9" s="626">
        <f>P9+'M03'!U25</f>
        <v>1019821.9199999999</v>
      </c>
      <c r="P9" s="157">
        <v>107786.69</v>
      </c>
      <c r="Q9" s="64">
        <f t="shared" si="2"/>
        <v>0.73708938290756454</v>
      </c>
      <c r="R9" s="265">
        <v>1019821.9199999999</v>
      </c>
      <c r="S9" s="558">
        <f t="shared" si="3"/>
        <v>0.73708938290756454</v>
      </c>
      <c r="T9" s="256">
        <f t="shared" si="4"/>
        <v>64645</v>
      </c>
      <c r="U9" s="269">
        <f t="shared" si="5"/>
        <v>363757.79726190469</v>
      </c>
    </row>
    <row r="10" spans="1:21" x14ac:dyDescent="0.25">
      <c r="A10" s="91" t="s">
        <v>134</v>
      </c>
      <c r="B10" s="63" t="s">
        <v>10</v>
      </c>
      <c r="C10" s="594">
        <v>199398514.63</v>
      </c>
      <c r="D10" s="594">
        <v>191833699.60380948</v>
      </c>
      <c r="E10" s="594">
        <v>7564815.0261905268</v>
      </c>
      <c r="F10" s="594">
        <v>95711287.022399992</v>
      </c>
      <c r="G10" s="614">
        <v>6227346.3799999999</v>
      </c>
      <c r="H10" s="594">
        <f t="shared" si="0"/>
        <v>198061045.98380947</v>
      </c>
      <c r="I10" s="592">
        <v>6200000</v>
      </c>
      <c r="J10" s="594">
        <v>199398514.63</v>
      </c>
      <c r="K10" s="496">
        <v>15630581.379999999</v>
      </c>
      <c r="L10" s="108">
        <f>K10+'M04'!M12</f>
        <v>237468182.38</v>
      </c>
      <c r="M10" s="64">
        <f t="shared" si="1"/>
        <v>1.1625720471382617</v>
      </c>
      <c r="N10" s="626">
        <v>179648214.42999989</v>
      </c>
      <c r="O10" s="626">
        <f>P10+'M04'!U12</f>
        <v>183572357.57999983</v>
      </c>
      <c r="P10" s="626">
        <v>15630581.379999999</v>
      </c>
      <c r="Q10" s="64">
        <f t="shared" si="2"/>
        <v>0.89871446949581613</v>
      </c>
      <c r="R10" s="265">
        <v>183572357.57999983</v>
      </c>
      <c r="S10" s="558">
        <f t="shared" si="3"/>
        <v>0.92684735995489986</v>
      </c>
      <c r="T10" s="256">
        <f>O10-N10</f>
        <v>3924143.1499999464</v>
      </c>
      <c r="U10" s="269">
        <f>H10-R10</f>
        <v>14488688.403809637</v>
      </c>
    </row>
    <row r="11" spans="1:21" ht="33.75" x14ac:dyDescent="0.25">
      <c r="A11" s="91" t="s">
        <v>135</v>
      </c>
      <c r="B11" s="63" t="s">
        <v>11</v>
      </c>
      <c r="C11" s="594">
        <v>44850000</v>
      </c>
      <c r="D11" s="594">
        <v>43672910.177380949</v>
      </c>
      <c r="E11" s="594">
        <v>1177089.822619047</v>
      </c>
      <c r="F11" s="594">
        <v>21708000</v>
      </c>
      <c r="G11" s="614"/>
      <c r="H11" s="594">
        <f t="shared" si="0"/>
        <v>43672910.177380949</v>
      </c>
      <c r="I11" s="592"/>
      <c r="J11" s="610">
        <v>43650000</v>
      </c>
      <c r="K11" s="496">
        <v>2165296.3600000003</v>
      </c>
      <c r="L11" s="108">
        <f>K11+'M04'!M23</f>
        <v>55259387.579999998</v>
      </c>
      <c r="M11" s="64">
        <f t="shared" si="1"/>
        <v>1.2653012440792166</v>
      </c>
      <c r="N11" s="84">
        <v>40836842.700000003</v>
      </c>
      <c r="O11" s="84">
        <f>P11+'M04'!U23</f>
        <v>41242476.539999999</v>
      </c>
      <c r="P11" s="626">
        <v>2165296.3600000003</v>
      </c>
      <c r="Q11" s="64">
        <f t="shared" si="2"/>
        <v>0.94434917143122465</v>
      </c>
      <c r="R11" s="269">
        <v>41242476.539999999</v>
      </c>
      <c r="S11" s="558">
        <f t="shared" si="3"/>
        <v>0.94434917143122465</v>
      </c>
      <c r="T11" s="256">
        <f t="shared" si="4"/>
        <v>405633.83999999613</v>
      </c>
      <c r="U11" s="269">
        <f t="shared" si="5"/>
        <v>2430433.6373809502</v>
      </c>
    </row>
    <row r="12" spans="1:21" ht="22.5" x14ac:dyDescent="0.25">
      <c r="A12" s="787" t="s">
        <v>136</v>
      </c>
      <c r="B12" s="63" t="s">
        <v>12</v>
      </c>
      <c r="C12" s="594">
        <v>41000000</v>
      </c>
      <c r="D12" s="594">
        <v>36550598.583134919</v>
      </c>
      <c r="E12" s="594">
        <v>4449401.4168650806</v>
      </c>
      <c r="F12" s="594">
        <v>19680000</v>
      </c>
      <c r="G12" s="614"/>
      <c r="H12" s="594">
        <f t="shared" si="0"/>
        <v>36550598.583134919</v>
      </c>
      <c r="I12" s="592">
        <v>5000000</v>
      </c>
      <c r="J12" s="610">
        <v>41000000</v>
      </c>
      <c r="K12" s="496">
        <v>6599358.8000000017</v>
      </c>
      <c r="L12" s="108">
        <f>K12+'M04'!M31</f>
        <v>49904661.440000035</v>
      </c>
      <c r="M12" s="64">
        <f t="shared" si="1"/>
        <v>1.201057581400427</v>
      </c>
      <c r="N12" s="626">
        <v>29537869.000000022</v>
      </c>
      <c r="O12" s="626">
        <f>'M04'!U31+P12</f>
        <v>30368703.890000023</v>
      </c>
      <c r="P12" s="626">
        <v>6599358.8000000017</v>
      </c>
      <c r="Q12" s="64">
        <f t="shared" si="2"/>
        <v>0.73088487111053213</v>
      </c>
      <c r="R12" s="265">
        <v>30368703.890000023</v>
      </c>
      <c r="S12" s="558">
        <f t="shared" si="3"/>
        <v>0.83086748417884104</v>
      </c>
      <c r="T12" s="256">
        <f>O12-N12</f>
        <v>830834.8900000006</v>
      </c>
      <c r="U12" s="269">
        <f t="shared" si="5"/>
        <v>6181894.6931348965</v>
      </c>
    </row>
    <row r="13" spans="1:21" x14ac:dyDescent="0.25">
      <c r="A13" s="787"/>
      <c r="B13" s="63" t="s">
        <v>13</v>
      </c>
      <c r="C13" s="594">
        <v>8270500</v>
      </c>
      <c r="D13" s="594">
        <v>5406590.7180555556</v>
      </c>
      <c r="E13" s="594">
        <v>2863909.2819444444</v>
      </c>
      <c r="F13" s="594">
        <v>2960415</v>
      </c>
      <c r="G13" s="614"/>
      <c r="H13" s="594">
        <f t="shared" si="0"/>
        <v>5406590.7180555556</v>
      </c>
      <c r="I13" s="593"/>
      <c r="J13" s="611">
        <v>15000000</v>
      </c>
      <c r="K13" s="496">
        <v>214886.96</v>
      </c>
      <c r="L13" s="604">
        <f>K13+'M04'!M32+'M04'!M33</f>
        <v>10183752.060000001</v>
      </c>
      <c r="M13" s="64">
        <f t="shared" si="1"/>
        <v>1.8835810940877951</v>
      </c>
      <c r="N13" s="626">
        <v>3797699.45</v>
      </c>
      <c r="O13" s="626">
        <f>'M04'!U32+P13+'M04'!U33</f>
        <v>3967152.3200000003</v>
      </c>
      <c r="P13" s="626">
        <v>214886.96</v>
      </c>
      <c r="Q13" s="64">
        <f>O13/(D13+G13+I13)</f>
        <v>0.7337622777236521</v>
      </c>
      <c r="R13" s="265">
        <v>3967152.3200000003</v>
      </c>
      <c r="S13" s="558">
        <f>R13/H13</f>
        <v>0.7337622777236521</v>
      </c>
      <c r="T13" s="256">
        <f>O13-N13</f>
        <v>169452.87000000011</v>
      </c>
      <c r="U13" s="269">
        <f t="shared" si="5"/>
        <v>1439438.3980555553</v>
      </c>
    </row>
    <row r="14" spans="1:21" x14ac:dyDescent="0.25">
      <c r="A14" s="91" t="s">
        <v>137</v>
      </c>
      <c r="B14" s="63" t="s">
        <v>15</v>
      </c>
      <c r="C14" s="595">
        <v>1864500.0000000002</v>
      </c>
      <c r="D14" s="594">
        <v>1487424.3172619045</v>
      </c>
      <c r="E14" s="594">
        <v>377075.68273809552</v>
      </c>
      <c r="F14" s="595">
        <v>724635</v>
      </c>
      <c r="G14" s="616"/>
      <c r="H14" s="599">
        <f t="shared" si="0"/>
        <v>1487424.3172619045</v>
      </c>
      <c r="I14" s="590"/>
      <c r="J14" s="611">
        <v>3000000</v>
      </c>
      <c r="K14" s="496">
        <v>0</v>
      </c>
      <c r="L14" s="108">
        <f>K14+'M05'!M8</f>
        <v>1456381.83</v>
      </c>
      <c r="M14" s="64">
        <f t="shared" si="1"/>
        <v>0.97913003915449737</v>
      </c>
      <c r="N14" s="84">
        <v>1416279.5299999998</v>
      </c>
      <c r="O14" s="84">
        <f>P14+'M05'!U8</f>
        <v>1429371.0499999998</v>
      </c>
      <c r="P14" s="84">
        <v>0</v>
      </c>
      <c r="Q14" s="64">
        <f t="shared" si="2"/>
        <v>0.96097060765500264</v>
      </c>
      <c r="R14" s="269">
        <v>1429371.0499999998</v>
      </c>
      <c r="S14" s="558">
        <f t="shared" si="3"/>
        <v>0.96097060765500264</v>
      </c>
      <c r="T14" s="256">
        <f t="shared" si="4"/>
        <v>13091.520000000019</v>
      </c>
      <c r="U14" s="269">
        <f t="shared" si="5"/>
        <v>58053.267261904664</v>
      </c>
    </row>
    <row r="15" spans="1:21" x14ac:dyDescent="0.25">
      <c r="A15" s="91" t="s">
        <v>138</v>
      </c>
      <c r="B15" s="63" t="s">
        <v>16</v>
      </c>
      <c r="C15" s="596">
        <v>13958489</v>
      </c>
      <c r="D15" s="594">
        <v>13328231.61468254</v>
      </c>
      <c r="E15" s="594">
        <v>630257.3853174604</v>
      </c>
      <c r="F15" s="596">
        <v>6562134.7199999997</v>
      </c>
      <c r="G15" s="614"/>
      <c r="H15" s="599">
        <f t="shared" si="0"/>
        <v>13328231.61468254</v>
      </c>
      <c r="I15" s="590">
        <v>1200000</v>
      </c>
      <c r="J15" s="612">
        <v>14878089</v>
      </c>
      <c r="K15" s="496">
        <v>9372402.4800000098</v>
      </c>
      <c r="L15" s="617">
        <f>K15+'M05'!M19</f>
        <v>16153053.06000001</v>
      </c>
      <c r="M15" s="64">
        <f t="shared" si="1"/>
        <v>1.1118389001780087</v>
      </c>
      <c r="N15" s="84">
        <v>12626531.510000009</v>
      </c>
      <c r="O15" s="84">
        <f>P15+'M05'!U19</f>
        <v>12751032.29000001</v>
      </c>
      <c r="P15" s="157">
        <v>9372402.4800000098</v>
      </c>
      <c r="Q15" s="64">
        <f t="shared" si="2"/>
        <v>0.87767270154982557</v>
      </c>
      <c r="R15" s="269">
        <v>12751032.29000001</v>
      </c>
      <c r="S15" s="558">
        <f t="shared" si="3"/>
        <v>0.95669348032287493</v>
      </c>
      <c r="T15" s="256">
        <f t="shared" ref="T15:T58" si="6">O15-N15</f>
        <v>124500.78000000119</v>
      </c>
      <c r="U15" s="269">
        <f t="shared" si="5"/>
        <v>577199.32468253002</v>
      </c>
    </row>
    <row r="16" spans="1:21" ht="22.5" x14ac:dyDescent="0.25">
      <c r="A16" s="91" t="s">
        <v>139</v>
      </c>
      <c r="B16" s="63" t="s">
        <v>18</v>
      </c>
      <c r="C16" s="595">
        <v>64066200</v>
      </c>
      <c r="D16" s="594">
        <v>63945020.808531746</v>
      </c>
      <c r="E16" s="594">
        <v>121179.19146825396</v>
      </c>
      <c r="F16" s="595">
        <v>31091706</v>
      </c>
      <c r="G16" s="618">
        <v>28000000</v>
      </c>
      <c r="H16" s="594">
        <f t="shared" si="0"/>
        <v>91945020.808531746</v>
      </c>
      <c r="I16" s="619">
        <v>11300000</v>
      </c>
      <c r="J16" s="611">
        <f>61800000+G16+I16</f>
        <v>101100000</v>
      </c>
      <c r="K16" s="496">
        <v>420000</v>
      </c>
      <c r="L16" s="108">
        <f>K16+'M06'!M9</f>
        <v>99395000</v>
      </c>
      <c r="M16" s="64">
        <f t="shared" si="1"/>
        <v>0.9627098645689498</v>
      </c>
      <c r="N16" s="84">
        <v>85299870.949999988</v>
      </c>
      <c r="O16" s="84">
        <f>P16+'M06'!U9</f>
        <v>86255370.949999988</v>
      </c>
      <c r="P16" s="626">
        <v>420000</v>
      </c>
      <c r="Q16" s="64">
        <f t="shared" si="2"/>
        <v>0.83544339741052376</v>
      </c>
      <c r="R16" s="269">
        <v>86255370.949999988</v>
      </c>
      <c r="S16" s="558">
        <f t="shared" si="3"/>
        <v>0.93811899971853829</v>
      </c>
      <c r="T16" s="256">
        <f t="shared" si="6"/>
        <v>955500</v>
      </c>
      <c r="U16" s="269">
        <f t="shared" si="5"/>
        <v>5689649.8585317582</v>
      </c>
    </row>
    <row r="17" spans="1:21" ht="22.5" x14ac:dyDescent="0.25">
      <c r="A17" s="91" t="s">
        <v>140</v>
      </c>
      <c r="B17" s="63" t="s">
        <v>19</v>
      </c>
      <c r="C17" s="595">
        <v>5999400.0000000009</v>
      </c>
      <c r="D17" s="594">
        <v>5563879.6428571427</v>
      </c>
      <c r="E17" s="594">
        <v>436120.35714285728</v>
      </c>
      <c r="F17" s="595">
        <v>2804622</v>
      </c>
      <c r="G17" s="613"/>
      <c r="H17" s="595">
        <f t="shared" si="0"/>
        <v>5563879.6428571427</v>
      </c>
      <c r="I17" s="108"/>
      <c r="J17" s="611">
        <v>6500000</v>
      </c>
      <c r="K17" s="496">
        <v>0</v>
      </c>
      <c r="L17" s="108">
        <f>K17+'M06'!M18</f>
        <v>6350000</v>
      </c>
      <c r="M17" s="64">
        <f t="shared" si="1"/>
        <v>1.141289964485855</v>
      </c>
      <c r="N17" s="84">
        <v>5179339.79</v>
      </c>
      <c r="O17" s="84">
        <f>P17+'M06'!U18</f>
        <v>5289339.79</v>
      </c>
      <c r="P17" s="157">
        <v>0</v>
      </c>
      <c r="Q17" s="64">
        <f t="shared" si="2"/>
        <v>0.9506567592256252</v>
      </c>
      <c r="R17" s="269">
        <v>5289339.79</v>
      </c>
      <c r="S17" s="558">
        <f t="shared" si="3"/>
        <v>0.9506567592256252</v>
      </c>
      <c r="T17" s="256">
        <f t="shared" si="6"/>
        <v>110000</v>
      </c>
      <c r="U17" s="269">
        <f t="shared" si="5"/>
        <v>274539.85285714269</v>
      </c>
    </row>
    <row r="18" spans="1:21" ht="33.75" x14ac:dyDescent="0.25">
      <c r="A18" s="787" t="s">
        <v>141</v>
      </c>
      <c r="B18" s="63" t="s">
        <v>20</v>
      </c>
      <c r="C18" s="595">
        <v>6062500</v>
      </c>
      <c r="D18" s="594">
        <v>5729496.8601190476</v>
      </c>
      <c r="E18" s="594">
        <v>333003.13988095243</v>
      </c>
      <c r="F18" s="595">
        <v>2769375</v>
      </c>
      <c r="G18" s="613"/>
      <c r="H18" s="595">
        <f t="shared" si="0"/>
        <v>5729496.8601190476</v>
      </c>
      <c r="I18" s="108"/>
      <c r="J18" s="611">
        <v>7000000</v>
      </c>
      <c r="K18" s="496">
        <v>1282212.0900000001</v>
      </c>
      <c r="L18" s="108">
        <f>K18+'M06'!M26</f>
        <v>6995398.1600000001</v>
      </c>
      <c r="M18" s="64">
        <f t="shared" si="1"/>
        <v>1.2209445839289019</v>
      </c>
      <c r="N18" s="84">
        <v>5672665.5599999996</v>
      </c>
      <c r="O18" s="84">
        <f>P18+'M06'!U26+'M06'!U27</f>
        <v>5672665.5599999996</v>
      </c>
      <c r="P18" s="49">
        <f>1333522.09-51310</f>
        <v>1282212.0900000001</v>
      </c>
      <c r="Q18" s="64">
        <f t="shared" si="2"/>
        <v>0.99008092656187141</v>
      </c>
      <c r="R18" s="269">
        <v>5672665.5599999996</v>
      </c>
      <c r="S18" s="558">
        <f t="shared" si="3"/>
        <v>0.99008092656187141</v>
      </c>
      <c r="T18" s="256">
        <f t="shared" si="6"/>
        <v>0</v>
      </c>
      <c r="U18" s="269">
        <f t="shared" si="5"/>
        <v>56831.300119047984</v>
      </c>
    </row>
    <row r="19" spans="1:21" ht="22.5" x14ac:dyDescent="0.25">
      <c r="A19" s="787"/>
      <c r="B19" s="63" t="s">
        <v>21</v>
      </c>
      <c r="C19" s="595">
        <v>5171900.0000000009</v>
      </c>
      <c r="D19" s="594">
        <v>4796354.1480158726</v>
      </c>
      <c r="E19" s="594">
        <v>374945.85198412719</v>
      </c>
      <c r="F19" s="595">
        <v>2358297</v>
      </c>
      <c r="G19" s="613"/>
      <c r="H19" s="595">
        <f t="shared" si="0"/>
        <v>4796354.1480158726</v>
      </c>
      <c r="I19" s="108"/>
      <c r="J19" s="611">
        <v>6000000</v>
      </c>
      <c r="K19" s="496">
        <v>0</v>
      </c>
      <c r="L19" s="108">
        <f>K19+'M06'!M28</f>
        <v>5226126.13</v>
      </c>
      <c r="M19" s="64">
        <f t="shared" si="1"/>
        <v>1.0896038884372024</v>
      </c>
      <c r="N19" s="84">
        <v>4468800.96</v>
      </c>
      <c r="O19" s="84">
        <f>P19+'M06'!U28</f>
        <v>4499037.7</v>
      </c>
      <c r="P19" s="157">
        <v>0</v>
      </c>
      <c r="Q19" s="64">
        <f t="shared" si="2"/>
        <v>0.93801199018240455</v>
      </c>
      <c r="R19" s="269">
        <v>4499037.7</v>
      </c>
      <c r="S19" s="558">
        <f t="shared" si="3"/>
        <v>0.93801199018240455</v>
      </c>
      <c r="T19" s="256">
        <f t="shared" si="6"/>
        <v>30236.740000000224</v>
      </c>
      <c r="U19" s="269">
        <f t="shared" si="5"/>
        <v>297316.44801587239</v>
      </c>
    </row>
    <row r="20" spans="1:21" ht="33.75" x14ac:dyDescent="0.25">
      <c r="A20" s="91" t="s">
        <v>142</v>
      </c>
      <c r="B20" s="65" t="s">
        <v>23</v>
      </c>
      <c r="C20" s="595">
        <v>221982.82285714286</v>
      </c>
      <c r="D20" s="594">
        <v>179296.49285714288</v>
      </c>
      <c r="E20" s="594">
        <v>42686.507142857125</v>
      </c>
      <c r="F20" s="595">
        <v>112957</v>
      </c>
      <c r="G20" s="613"/>
      <c r="H20" s="595">
        <f t="shared" si="0"/>
        <v>179296.49285714288</v>
      </c>
      <c r="I20" s="108"/>
      <c r="J20" s="611">
        <v>179283</v>
      </c>
      <c r="K20" s="496">
        <v>0</v>
      </c>
      <c r="L20" s="108">
        <f>K20+'M07'!M7</f>
        <v>179282.68</v>
      </c>
      <c r="M20" s="64">
        <f t="shared" si="1"/>
        <v>0.99992296080685816</v>
      </c>
      <c r="N20" s="84">
        <v>0</v>
      </c>
      <c r="O20" s="84">
        <f>P20+'M07'!U7</f>
        <v>0</v>
      </c>
      <c r="P20" s="157">
        <v>0</v>
      </c>
      <c r="Q20" s="64">
        <f t="shared" si="2"/>
        <v>0</v>
      </c>
      <c r="R20" s="269">
        <v>0</v>
      </c>
      <c r="S20" s="558">
        <f t="shared" si="3"/>
        <v>0</v>
      </c>
      <c r="T20" s="256">
        <f t="shared" si="6"/>
        <v>0</v>
      </c>
      <c r="U20" s="269">
        <f t="shared" si="5"/>
        <v>179296.49285714288</v>
      </c>
    </row>
    <row r="21" spans="1:21" ht="33.75" x14ac:dyDescent="0.25">
      <c r="A21" s="91" t="s">
        <v>143</v>
      </c>
      <c r="B21" s="65" t="s">
        <v>24</v>
      </c>
      <c r="C21" s="594">
        <v>1125000</v>
      </c>
      <c r="D21" s="594">
        <v>857142.85714285716</v>
      </c>
      <c r="E21" s="594">
        <v>267857.14285714284</v>
      </c>
      <c r="F21" s="594">
        <v>540000</v>
      </c>
      <c r="G21" s="618"/>
      <c r="H21" s="594">
        <f t="shared" si="0"/>
        <v>857142.85714285716</v>
      </c>
      <c r="I21" s="619"/>
      <c r="J21" s="609">
        <v>1125000</v>
      </c>
      <c r="K21" s="496">
        <v>0</v>
      </c>
      <c r="L21" s="108">
        <f>K21+'M07'!M16</f>
        <v>2595532.08</v>
      </c>
      <c r="M21" s="64">
        <f>L21/(D21+G21+I21)</f>
        <v>3.0281207600000002</v>
      </c>
      <c r="N21" s="84">
        <v>241774.58000000002</v>
      </c>
      <c r="O21" s="84">
        <f>P21+'M07'!U16</f>
        <v>241774.58000000002</v>
      </c>
      <c r="P21" s="157">
        <v>0</v>
      </c>
      <c r="Q21" s="64">
        <f t="shared" si="2"/>
        <v>0.28207034333333336</v>
      </c>
      <c r="R21" s="269">
        <v>241774.58000000002</v>
      </c>
      <c r="S21" s="558">
        <f>R21/H21</f>
        <v>0.28207034333333336</v>
      </c>
      <c r="T21" s="256">
        <f t="shared" si="6"/>
        <v>0</v>
      </c>
      <c r="U21" s="269">
        <f t="shared" si="5"/>
        <v>615368.2771428572</v>
      </c>
    </row>
    <row r="22" spans="1:21" x14ac:dyDescent="0.25">
      <c r="A22" s="91" t="s">
        <v>144</v>
      </c>
      <c r="B22" s="63" t="s">
        <v>25</v>
      </c>
      <c r="C22" s="595">
        <v>43565885.999999985</v>
      </c>
      <c r="D22" s="594">
        <v>41388910.669047624</v>
      </c>
      <c r="E22" s="594">
        <v>2176975.3309523799</v>
      </c>
      <c r="F22" s="595">
        <v>21083090.280000001</v>
      </c>
      <c r="G22" s="613"/>
      <c r="H22" s="595">
        <f t="shared" si="0"/>
        <v>41388910.669047624</v>
      </c>
      <c r="I22" s="108"/>
      <c r="J22" s="611">
        <v>42422786</v>
      </c>
      <c r="K22" s="611">
        <v>25170120.109999999</v>
      </c>
      <c r="L22" s="108">
        <f>K22+'M07'!M25</f>
        <v>41388859.109999999</v>
      </c>
      <c r="M22" s="64">
        <f t="shared" si="1"/>
        <v>0.99999875427869955</v>
      </c>
      <c r="N22" s="84">
        <v>39766985.210000001</v>
      </c>
      <c r="O22" s="84">
        <f>P22+'M07'!U25</f>
        <v>39766985.210000001</v>
      </c>
      <c r="P22" s="627">
        <v>25170120.109999999</v>
      </c>
      <c r="Q22" s="64">
        <f t="shared" si="2"/>
        <v>0.96081255986617287</v>
      </c>
      <c r="R22" s="269">
        <v>39766985.210000001</v>
      </c>
      <c r="S22" s="558">
        <f t="shared" si="3"/>
        <v>0.96081255986617287</v>
      </c>
      <c r="T22" s="256">
        <f t="shared" si="6"/>
        <v>0</v>
      </c>
      <c r="U22" s="269">
        <f t="shared" si="5"/>
        <v>1621925.459047623</v>
      </c>
    </row>
    <row r="23" spans="1:21" ht="22.5" x14ac:dyDescent="0.25">
      <c r="A23" s="91" t="s">
        <v>145</v>
      </c>
      <c r="B23" s="65" t="s">
        <v>26</v>
      </c>
      <c r="C23" s="595">
        <v>3134302.0799999996</v>
      </c>
      <c r="D23" s="594">
        <v>3134301.9404761908</v>
      </c>
      <c r="E23" s="594">
        <v>5.9523809463754018E-2</v>
      </c>
      <c r="F23" s="595">
        <v>1504464.96</v>
      </c>
      <c r="G23" s="613"/>
      <c r="H23" s="595">
        <f t="shared" si="0"/>
        <v>3134301.9404761908</v>
      </c>
      <c r="I23" s="108"/>
      <c r="J23" s="611">
        <v>3134302</v>
      </c>
      <c r="K23" s="496">
        <v>3134301.83</v>
      </c>
      <c r="L23" s="108">
        <f>K23</f>
        <v>3134301.83</v>
      </c>
      <c r="M23" s="64">
        <f t="shared" si="1"/>
        <v>0.99999996475253727</v>
      </c>
      <c r="N23" s="84">
        <v>3134301.83</v>
      </c>
      <c r="O23" s="84">
        <f>P23</f>
        <v>3134301.83</v>
      </c>
      <c r="P23" s="627">
        <v>3134301.83</v>
      </c>
      <c r="Q23" s="64">
        <f t="shared" si="2"/>
        <v>0.99999996475253727</v>
      </c>
      <c r="R23" s="269">
        <v>3134301.83</v>
      </c>
      <c r="S23" s="558">
        <f t="shared" si="3"/>
        <v>0.99999996475253727</v>
      </c>
      <c r="T23" s="256">
        <f t="shared" si="6"/>
        <v>0</v>
      </c>
      <c r="U23" s="269">
        <f t="shared" si="5"/>
        <v>0.11047619068995118</v>
      </c>
    </row>
    <row r="24" spans="1:21" x14ac:dyDescent="0.25">
      <c r="A24" s="91" t="s">
        <v>146</v>
      </c>
      <c r="B24" s="65" t="s">
        <v>27</v>
      </c>
      <c r="C24" s="496">
        <v>2345199.9999999995</v>
      </c>
      <c r="D24" s="594">
        <v>2344597.6524603176</v>
      </c>
      <c r="E24" s="594">
        <v>602.75753968259482</v>
      </c>
      <c r="F24" s="496">
        <v>1151976.04</v>
      </c>
      <c r="G24" s="613"/>
      <c r="H24" s="496">
        <f t="shared" si="0"/>
        <v>2344597.6524603176</v>
      </c>
      <c r="I24" s="108"/>
      <c r="J24" s="611">
        <v>2170000</v>
      </c>
      <c r="K24" s="496">
        <v>2072844.16</v>
      </c>
      <c r="L24" s="108">
        <f>K24+'M07'!M43</f>
        <v>2637238.4</v>
      </c>
      <c r="M24" s="64">
        <f t="shared" si="1"/>
        <v>1.1248149110925698</v>
      </c>
      <c r="N24" s="628">
        <v>2167468.41</v>
      </c>
      <c r="O24" s="628">
        <f>P24+'M07'!U43</f>
        <v>2167468.41</v>
      </c>
      <c r="P24" s="591">
        <v>2072844.16</v>
      </c>
      <c r="Q24" s="64">
        <f t="shared" si="2"/>
        <v>0.92445217955650272</v>
      </c>
      <c r="R24" s="160">
        <v>2167468.41</v>
      </c>
      <c r="S24" s="558">
        <f t="shared" si="3"/>
        <v>0.92445217955650272</v>
      </c>
      <c r="T24" s="256">
        <f t="shared" si="6"/>
        <v>0</v>
      </c>
      <c r="U24" s="269">
        <f t="shared" si="5"/>
        <v>177129.24246031744</v>
      </c>
    </row>
    <row r="25" spans="1:21" ht="33.75" x14ac:dyDescent="0.25">
      <c r="A25" s="91" t="s">
        <v>147</v>
      </c>
      <c r="B25" s="65" t="s">
        <v>28</v>
      </c>
      <c r="C25" s="595">
        <v>1000000</v>
      </c>
      <c r="D25" s="594">
        <v>761904.76190476189</v>
      </c>
      <c r="E25" s="594">
        <v>238095.23809523811</v>
      </c>
      <c r="F25" s="595">
        <v>480000</v>
      </c>
      <c r="G25" s="613"/>
      <c r="H25" s="595">
        <f t="shared" si="0"/>
        <v>761904.76190476189</v>
      </c>
      <c r="I25" s="108"/>
      <c r="J25" s="611">
        <v>1000000</v>
      </c>
      <c r="K25" s="496">
        <v>0</v>
      </c>
      <c r="L25" s="108">
        <f>K25+'M07'!M52</f>
        <v>1108557.9300000002</v>
      </c>
      <c r="M25" s="64">
        <f t="shared" si="1"/>
        <v>1.4549822831250003</v>
      </c>
      <c r="N25" s="629">
        <v>130927.22</v>
      </c>
      <c r="O25" s="603">
        <f>P25+'M07'!U52</f>
        <v>130927.22</v>
      </c>
      <c r="P25" s="157">
        <v>0</v>
      </c>
      <c r="Q25" s="64">
        <f t="shared" si="2"/>
        <v>0.17184197625</v>
      </c>
      <c r="R25" s="241">
        <v>130927.22</v>
      </c>
      <c r="S25" s="558">
        <f t="shared" si="3"/>
        <v>0.17184197625</v>
      </c>
      <c r="T25" s="256">
        <f t="shared" si="6"/>
        <v>0</v>
      </c>
      <c r="U25" s="269">
        <f t="shared" si="5"/>
        <v>630977.54190476192</v>
      </c>
    </row>
    <row r="26" spans="1:21" ht="22.5" x14ac:dyDescent="0.25">
      <c r="A26" s="110" t="s">
        <v>116</v>
      </c>
      <c r="B26" s="111" t="s">
        <v>30</v>
      </c>
      <c r="C26" s="596">
        <v>15500000</v>
      </c>
      <c r="D26" s="594">
        <v>14967208.558333341</v>
      </c>
      <c r="E26" s="594">
        <v>532791.44166665967</v>
      </c>
      <c r="F26" s="596">
        <v>7290000</v>
      </c>
      <c r="G26" s="613"/>
      <c r="H26" s="595">
        <f t="shared" si="0"/>
        <v>14967208.558333341</v>
      </c>
      <c r="I26" s="613"/>
      <c r="J26" s="598">
        <v>15967539.303690473</v>
      </c>
      <c r="K26" s="598">
        <v>15967539.303690473</v>
      </c>
      <c r="L26" s="496">
        <v>15967539.303690473</v>
      </c>
      <c r="M26" s="376">
        <f t="shared" si="1"/>
        <v>1.0668348237053311</v>
      </c>
      <c r="N26" s="628">
        <v>14335826.874166699</v>
      </c>
      <c r="O26" s="630">
        <v>14397742.554166701</v>
      </c>
      <c r="P26" s="630">
        <v>14397742.554166701</v>
      </c>
      <c r="Q26" s="376">
        <f t="shared" si="2"/>
        <v>0.96195242406443404</v>
      </c>
      <c r="R26" s="630">
        <v>14397742.554166701</v>
      </c>
      <c r="S26" s="558">
        <f>R26/H26</f>
        <v>0.96195242406443404</v>
      </c>
      <c r="T26" s="256">
        <f t="shared" si="6"/>
        <v>61915.680000001565</v>
      </c>
      <c r="U26" s="269">
        <f t="shared" si="5"/>
        <v>569466.00416664034</v>
      </c>
    </row>
    <row r="27" spans="1:21" ht="33.75" x14ac:dyDescent="0.25">
      <c r="A27" s="91" t="s">
        <v>148</v>
      </c>
      <c r="B27" s="65" t="s">
        <v>31</v>
      </c>
      <c r="C27" s="595">
        <v>8300000.0000000009</v>
      </c>
      <c r="D27" s="594">
        <v>7572786.6359126987</v>
      </c>
      <c r="E27" s="594">
        <v>727213.36408730131</v>
      </c>
      <c r="F27" s="595">
        <v>4029000</v>
      </c>
      <c r="G27" s="613"/>
      <c r="H27" s="595">
        <f t="shared" si="0"/>
        <v>7572786.6359126987</v>
      </c>
      <c r="I27" s="108"/>
      <c r="J27" s="611">
        <v>8000000</v>
      </c>
      <c r="K27" s="496">
        <v>2577196.0000000009</v>
      </c>
      <c r="L27" s="256">
        <f>K27+'M8.3-8.6'!M7</f>
        <v>10252258.540000001</v>
      </c>
      <c r="M27" s="64">
        <f t="shared" si="1"/>
        <v>1.3538290503762969</v>
      </c>
      <c r="N27" s="629">
        <v>6800342.9200000009</v>
      </c>
      <c r="O27" s="629">
        <f>P27+'M8.3-8.6'!U6</f>
        <v>7249858.2600000007</v>
      </c>
      <c r="P27" s="631">
        <v>2577196.0000000009</v>
      </c>
      <c r="Q27" s="64">
        <f t="shared" si="2"/>
        <v>0.95735673122212861</v>
      </c>
      <c r="R27" s="266">
        <v>7249858.2600000007</v>
      </c>
      <c r="S27" s="558">
        <f t="shared" si="3"/>
        <v>0.95735673122212861</v>
      </c>
      <c r="T27" s="256">
        <f t="shared" si="6"/>
        <v>449515.33999999985</v>
      </c>
      <c r="U27" s="269">
        <f t="shared" si="5"/>
        <v>322928.37591269799</v>
      </c>
    </row>
    <row r="28" spans="1:21" ht="33.75" x14ac:dyDescent="0.25">
      <c r="A28" s="91" t="s">
        <v>149</v>
      </c>
      <c r="B28" s="65" t="s">
        <v>32</v>
      </c>
      <c r="C28" s="595">
        <v>5108400</v>
      </c>
      <c r="D28" s="594">
        <v>5192447.2849206347</v>
      </c>
      <c r="E28" s="594">
        <v>-84047.284920634993</v>
      </c>
      <c r="F28" s="595">
        <v>2513292</v>
      </c>
      <c r="G28" s="613"/>
      <c r="H28" s="595">
        <f t="shared" si="0"/>
        <v>5192447.2849206347</v>
      </c>
      <c r="I28" s="108"/>
      <c r="J28" s="611">
        <v>4700000</v>
      </c>
      <c r="K28" s="496">
        <v>2313523.7600000002</v>
      </c>
      <c r="L28" s="256">
        <f>K28+'M8.3-8.6'!M16</f>
        <v>5771092.4400000004</v>
      </c>
      <c r="M28" s="64">
        <f t="shared" si="1"/>
        <v>1.1114397746048972</v>
      </c>
      <c r="N28" s="629">
        <v>5192420.5799999991</v>
      </c>
      <c r="O28" s="629">
        <f>P28+'M8.3-8.6'!U15</f>
        <v>5192420.5799999991</v>
      </c>
      <c r="P28" s="631">
        <v>2313523.7600000002</v>
      </c>
      <c r="Q28" s="64">
        <f t="shared" si="2"/>
        <v>0.99999485696836765</v>
      </c>
      <c r="R28" s="266">
        <v>5192420.5799999991</v>
      </c>
      <c r="S28" s="558">
        <f t="shared" si="3"/>
        <v>0.99999485696836765</v>
      </c>
      <c r="T28" s="256">
        <f t="shared" si="6"/>
        <v>0</v>
      </c>
      <c r="U28" s="269">
        <f t="shared" si="5"/>
        <v>26.704920635558665</v>
      </c>
    </row>
    <row r="29" spans="1:21" ht="22.5" x14ac:dyDescent="0.25">
      <c r="A29" s="110" t="s">
        <v>150</v>
      </c>
      <c r="B29" s="111" t="s">
        <v>34</v>
      </c>
      <c r="C29" s="594">
        <v>305000</v>
      </c>
      <c r="D29" s="594">
        <v>305000</v>
      </c>
      <c r="E29" s="594">
        <v>0</v>
      </c>
      <c r="F29" s="594">
        <v>146400</v>
      </c>
      <c r="G29" s="618"/>
      <c r="H29" s="594">
        <f t="shared" si="0"/>
        <v>305000</v>
      </c>
      <c r="I29" s="619"/>
      <c r="J29" s="609">
        <v>305000</v>
      </c>
      <c r="K29" s="496">
        <v>0</v>
      </c>
      <c r="L29" s="108">
        <f>K29+'M09'!M7</f>
        <v>305000</v>
      </c>
      <c r="M29" s="64">
        <f t="shared" si="1"/>
        <v>1</v>
      </c>
      <c r="N29" s="629">
        <v>305000</v>
      </c>
      <c r="O29" s="629">
        <f>P29+'M09'!U6</f>
        <v>305000</v>
      </c>
      <c r="P29" s="157">
        <v>0</v>
      </c>
      <c r="Q29" s="64">
        <f t="shared" si="2"/>
        <v>1</v>
      </c>
      <c r="R29" s="266">
        <v>305000</v>
      </c>
      <c r="S29" s="558">
        <f t="shared" si="3"/>
        <v>1</v>
      </c>
      <c r="T29" s="256">
        <f t="shared" si="6"/>
        <v>0</v>
      </c>
      <c r="U29" s="269">
        <f t="shared" si="5"/>
        <v>0</v>
      </c>
    </row>
    <row r="30" spans="1:21" customFormat="1" ht="13.15" customHeight="1" x14ac:dyDescent="0.25">
      <c r="A30" s="809" t="s">
        <v>117</v>
      </c>
      <c r="B30" s="111" t="s">
        <v>36</v>
      </c>
      <c r="C30" s="1131">
        <v>210388107.50749999</v>
      </c>
      <c r="D30" s="1131">
        <v>210159185</v>
      </c>
      <c r="E30" s="752">
        <v>228922.65750000312</v>
      </c>
      <c r="F30" s="752">
        <v>101026791.59999999</v>
      </c>
      <c r="G30" s="752">
        <v>28004192.489999998</v>
      </c>
      <c r="H30" s="752">
        <f t="shared" si="0"/>
        <v>238163377.49000001</v>
      </c>
      <c r="I30" s="752">
        <v>10000000</v>
      </c>
      <c r="J30" s="752">
        <v>250319635.04827595</v>
      </c>
      <c r="K30" s="752">
        <v>83920532.772275597</v>
      </c>
      <c r="L30" s="752">
        <v>250319635.04827592</v>
      </c>
      <c r="M30" s="769">
        <f t="shared" si="1"/>
        <v>1.0086888628776935</v>
      </c>
      <c r="N30" s="761">
        <v>244714746.14920971</v>
      </c>
      <c r="O30" s="761">
        <v>245027411.2016663</v>
      </c>
      <c r="P30" s="761">
        <v>83933796.450000003</v>
      </c>
      <c r="Q30" s="769">
        <f>O30/(D30+G30+I30)</f>
        <v>0.98736329945195045</v>
      </c>
      <c r="R30" s="761">
        <v>237526212.1616663</v>
      </c>
      <c r="S30" s="764">
        <f>R30/H30</f>
        <v>0.99732467126117885</v>
      </c>
      <c r="T30" s="767">
        <f t="shared" si="6"/>
        <v>312665.05245658755</v>
      </c>
      <c r="U30" s="1136">
        <f t="shared" si="5"/>
        <v>637165.32833370566</v>
      </c>
    </row>
    <row r="31" spans="1:21" customFormat="1" x14ac:dyDescent="0.25">
      <c r="A31" s="810"/>
      <c r="B31" s="111" t="s">
        <v>37</v>
      </c>
      <c r="C31" s="1132"/>
      <c r="D31" s="1132"/>
      <c r="E31" s="753"/>
      <c r="F31" s="753"/>
      <c r="G31" s="753"/>
      <c r="H31" s="753"/>
      <c r="I31" s="753"/>
      <c r="J31" s="753"/>
      <c r="K31" s="753"/>
      <c r="L31" s="753"/>
      <c r="M31" s="770" t="e">
        <f t="shared" si="1"/>
        <v>#DIV/0!</v>
      </c>
      <c r="N31" s="762"/>
      <c r="O31" s="762"/>
      <c r="P31" s="762"/>
      <c r="Q31" s="770" t="e">
        <f t="shared" si="2"/>
        <v>#DIV/0!</v>
      </c>
      <c r="R31" s="762"/>
      <c r="S31" s="764" t="e">
        <f t="shared" si="3"/>
        <v>#DIV/0!</v>
      </c>
      <c r="T31" s="772">
        <f t="shared" si="6"/>
        <v>0</v>
      </c>
      <c r="U31" s="1137"/>
    </row>
    <row r="32" spans="1:21" x14ac:dyDescent="0.25">
      <c r="A32" s="810"/>
      <c r="B32" s="111" t="s">
        <v>38</v>
      </c>
      <c r="C32" s="1132"/>
      <c r="D32" s="1132"/>
      <c r="E32" s="753"/>
      <c r="F32" s="753"/>
      <c r="G32" s="753"/>
      <c r="H32" s="753"/>
      <c r="I32" s="753"/>
      <c r="J32" s="753"/>
      <c r="K32" s="753"/>
      <c r="L32" s="753"/>
      <c r="M32" s="770" t="e">
        <f t="shared" si="1"/>
        <v>#DIV/0!</v>
      </c>
      <c r="N32" s="762"/>
      <c r="O32" s="762"/>
      <c r="P32" s="762"/>
      <c r="Q32" s="770" t="e">
        <f t="shared" si="2"/>
        <v>#DIV/0!</v>
      </c>
      <c r="R32" s="762"/>
      <c r="S32" s="764" t="e">
        <f t="shared" si="3"/>
        <v>#DIV/0!</v>
      </c>
      <c r="T32" s="772">
        <f t="shared" si="6"/>
        <v>0</v>
      </c>
      <c r="U32" s="1137"/>
    </row>
    <row r="33" spans="1:21" customFormat="1" ht="33.75" x14ac:dyDescent="0.25">
      <c r="A33" s="810"/>
      <c r="B33" s="111" t="s">
        <v>41</v>
      </c>
      <c r="C33" s="1132"/>
      <c r="D33" s="1132"/>
      <c r="E33" s="753"/>
      <c r="F33" s="753"/>
      <c r="G33" s="753"/>
      <c r="H33" s="753"/>
      <c r="I33" s="753"/>
      <c r="J33" s="753"/>
      <c r="K33" s="753"/>
      <c r="L33" s="753"/>
      <c r="M33" s="770" t="e">
        <f t="shared" si="1"/>
        <v>#DIV/0!</v>
      </c>
      <c r="N33" s="762"/>
      <c r="O33" s="762"/>
      <c r="P33" s="762"/>
      <c r="Q33" s="770" t="e">
        <f t="shared" si="2"/>
        <v>#DIV/0!</v>
      </c>
      <c r="R33" s="762"/>
      <c r="S33" s="764" t="e">
        <f t="shared" si="3"/>
        <v>#DIV/0!</v>
      </c>
      <c r="T33" s="772">
        <f t="shared" si="6"/>
        <v>0</v>
      </c>
      <c r="U33" s="1137"/>
    </row>
    <row r="34" spans="1:21" customFormat="1" ht="22.5" x14ac:dyDescent="0.25">
      <c r="A34" s="811"/>
      <c r="B34" s="111" t="s">
        <v>39</v>
      </c>
      <c r="C34" s="1132"/>
      <c r="D34" s="1132"/>
      <c r="E34" s="754"/>
      <c r="F34" s="754"/>
      <c r="G34" s="754"/>
      <c r="H34" s="754"/>
      <c r="I34" s="754"/>
      <c r="J34" s="754"/>
      <c r="K34" s="754"/>
      <c r="L34" s="754"/>
      <c r="M34" s="771" t="e">
        <f t="shared" si="1"/>
        <v>#DIV/0!</v>
      </c>
      <c r="N34" s="763"/>
      <c r="O34" s="763"/>
      <c r="P34" s="763"/>
      <c r="Q34" s="771" t="e">
        <f t="shared" si="2"/>
        <v>#DIV/0!</v>
      </c>
      <c r="R34" s="763"/>
      <c r="S34" s="764" t="e">
        <f t="shared" si="3"/>
        <v>#DIV/0!</v>
      </c>
      <c r="T34" s="768">
        <f t="shared" si="6"/>
        <v>0</v>
      </c>
      <c r="U34" s="1138"/>
    </row>
    <row r="35" spans="1:21" ht="22.5" x14ac:dyDescent="0.25">
      <c r="A35" s="110" t="s">
        <v>118</v>
      </c>
      <c r="B35" s="111" t="s">
        <v>42</v>
      </c>
      <c r="C35" s="1133"/>
      <c r="D35" s="1133"/>
      <c r="E35" s="496">
        <v>0</v>
      </c>
      <c r="F35" s="496">
        <v>0</v>
      </c>
      <c r="G35" s="496">
        <v>0</v>
      </c>
      <c r="H35" s="496">
        <v>0</v>
      </c>
      <c r="I35" s="496">
        <v>0</v>
      </c>
      <c r="J35" s="496">
        <v>0</v>
      </c>
      <c r="K35" s="496">
        <v>0</v>
      </c>
      <c r="L35" s="256">
        <f>K35+'M10.2'!M7</f>
        <v>0</v>
      </c>
      <c r="M35" s="263">
        <v>0</v>
      </c>
      <c r="N35" s="563">
        <v>0</v>
      </c>
      <c r="O35" s="157">
        <v>0</v>
      </c>
      <c r="P35" s="157">
        <v>0</v>
      </c>
      <c r="Q35" s="263">
        <v>0</v>
      </c>
      <c r="R35" s="256">
        <v>0</v>
      </c>
      <c r="S35" s="559">
        <v>0</v>
      </c>
      <c r="T35" s="256">
        <f t="shared" si="6"/>
        <v>0</v>
      </c>
      <c r="U35" s="269">
        <f t="shared" si="5"/>
        <v>0</v>
      </c>
    </row>
    <row r="36" spans="1:21" ht="22.5" x14ac:dyDescent="0.25">
      <c r="A36" s="110" t="s">
        <v>45</v>
      </c>
      <c r="B36" s="111" t="s">
        <v>43</v>
      </c>
      <c r="C36" s="755">
        <v>95957831.25</v>
      </c>
      <c r="D36" s="755">
        <v>95737663</v>
      </c>
      <c r="E36" s="755">
        <v>220168.34999999782</v>
      </c>
      <c r="F36" s="755">
        <v>45951759</v>
      </c>
      <c r="G36" s="752"/>
      <c r="H36" s="755">
        <f t="shared" si="0"/>
        <v>95737663</v>
      </c>
      <c r="I36" s="752"/>
      <c r="J36" s="752">
        <v>97047954.128000006</v>
      </c>
      <c r="K36" s="752">
        <v>22500000.000000004</v>
      </c>
      <c r="L36" s="752">
        <v>97047954.128000006</v>
      </c>
      <c r="M36" s="769">
        <f t="shared" si="1"/>
        <v>1.0136862660622916</v>
      </c>
      <c r="N36" s="761">
        <v>95629301.796666697</v>
      </c>
      <c r="O36" s="761">
        <v>95664735.766666695</v>
      </c>
      <c r="P36" s="761">
        <v>22333621.170000002</v>
      </c>
      <c r="Q36" s="769">
        <f>O36/(D36+G36+I36)</f>
        <v>0.9992382597292635</v>
      </c>
      <c r="R36" s="767">
        <v>95664735.766666695</v>
      </c>
      <c r="S36" s="760">
        <f t="shared" si="3"/>
        <v>0.9992382597292635</v>
      </c>
      <c r="T36" s="767">
        <f t="shared" si="6"/>
        <v>35433.969999998808</v>
      </c>
      <c r="U36" s="1136">
        <f t="shared" si="5"/>
        <v>72927.233333304524</v>
      </c>
    </row>
    <row r="37" spans="1:21" ht="22.5" x14ac:dyDescent="0.25">
      <c r="A37" s="110" t="s">
        <v>119</v>
      </c>
      <c r="B37" s="111" t="s">
        <v>44</v>
      </c>
      <c r="C37" s="756"/>
      <c r="D37" s="756"/>
      <c r="E37" s="756"/>
      <c r="F37" s="756"/>
      <c r="G37" s="754"/>
      <c r="H37" s="756">
        <f t="shared" si="0"/>
        <v>0</v>
      </c>
      <c r="I37" s="754"/>
      <c r="J37" s="754"/>
      <c r="K37" s="754"/>
      <c r="L37" s="754"/>
      <c r="M37" s="771" t="e">
        <f t="shared" si="1"/>
        <v>#DIV/0!</v>
      </c>
      <c r="N37" s="763"/>
      <c r="O37" s="763"/>
      <c r="P37" s="763"/>
      <c r="Q37" s="771"/>
      <c r="R37" s="768"/>
      <c r="S37" s="760" t="e">
        <f t="shared" si="3"/>
        <v>#DIV/0!</v>
      </c>
      <c r="T37" s="768">
        <f t="shared" si="6"/>
        <v>0</v>
      </c>
      <c r="U37" s="1138"/>
    </row>
    <row r="38" spans="1:21" x14ac:dyDescent="0.25">
      <c r="A38" s="110" t="s">
        <v>112</v>
      </c>
      <c r="B38" s="111" t="s">
        <v>120</v>
      </c>
      <c r="C38" s="765">
        <v>392192965.25</v>
      </c>
      <c r="D38" s="765">
        <v>375327634.50749999</v>
      </c>
      <c r="E38" s="755">
        <v>16865330.512499999</v>
      </c>
      <c r="F38" s="765">
        <v>188428123.21000001</v>
      </c>
      <c r="G38" s="752"/>
      <c r="H38" s="755">
        <f t="shared" si="0"/>
        <v>375327634.50749999</v>
      </c>
      <c r="I38" s="588"/>
      <c r="J38" s="767">
        <v>392387217.80097413</v>
      </c>
      <c r="K38" s="752">
        <v>1546988.40999987</v>
      </c>
      <c r="L38" s="767">
        <v>383026339.48097414</v>
      </c>
      <c r="M38" s="769">
        <f t="shared" si="1"/>
        <v>1.020511958794551</v>
      </c>
      <c r="N38" s="761">
        <v>347458230.87583297</v>
      </c>
      <c r="O38" s="761">
        <v>347883435.32583302</v>
      </c>
      <c r="P38" s="761">
        <v>1546988.40999987</v>
      </c>
      <c r="Q38" s="769">
        <f t="shared" si="2"/>
        <v>0.926879353773993</v>
      </c>
      <c r="R38" s="767">
        <v>347883435.32583302</v>
      </c>
      <c r="S38" s="760">
        <f t="shared" si="3"/>
        <v>0.926879353773993</v>
      </c>
      <c r="T38" s="767">
        <f t="shared" si="6"/>
        <v>425204.45000004768</v>
      </c>
      <c r="U38" s="1136">
        <f t="shared" si="5"/>
        <v>27444199.18166697</v>
      </c>
    </row>
    <row r="39" spans="1:21" ht="22.5" x14ac:dyDescent="0.25">
      <c r="A39" s="110" t="s">
        <v>113</v>
      </c>
      <c r="B39" s="111" t="s">
        <v>121</v>
      </c>
      <c r="C39" s="766"/>
      <c r="D39" s="766"/>
      <c r="E39" s="756"/>
      <c r="F39" s="766"/>
      <c r="G39" s="754"/>
      <c r="H39" s="756">
        <f t="shared" si="0"/>
        <v>0</v>
      </c>
      <c r="I39" s="589"/>
      <c r="J39" s="768"/>
      <c r="K39" s="754"/>
      <c r="L39" s="768"/>
      <c r="M39" s="771" t="e">
        <f t="shared" si="1"/>
        <v>#DIV/0!</v>
      </c>
      <c r="N39" s="763"/>
      <c r="O39" s="763"/>
      <c r="P39" s="763"/>
      <c r="Q39" s="771"/>
      <c r="R39" s="768"/>
      <c r="S39" s="760" t="e">
        <f t="shared" si="3"/>
        <v>#DIV/0!</v>
      </c>
      <c r="T39" s="768">
        <f t="shared" si="6"/>
        <v>0</v>
      </c>
      <c r="U39" s="1138"/>
    </row>
    <row r="40" spans="1:21" ht="22.5" x14ac:dyDescent="0.25">
      <c r="A40" s="782" t="s">
        <v>122</v>
      </c>
      <c r="B40" s="111" t="s">
        <v>123</v>
      </c>
      <c r="C40" s="757">
        <v>353616229.47000003</v>
      </c>
      <c r="D40" s="757">
        <v>347707334.59400797</v>
      </c>
      <c r="E40" s="757">
        <v>5908894.8759920448</v>
      </c>
      <c r="F40" s="813">
        <v>170839893</v>
      </c>
      <c r="G40" s="774"/>
      <c r="H40" s="757">
        <f t="shared" si="0"/>
        <v>347707334.59400797</v>
      </c>
      <c r="I40" s="774"/>
      <c r="J40" s="767">
        <v>346005197.30199939</v>
      </c>
      <c r="K40" s="752">
        <v>32588366.609999999</v>
      </c>
      <c r="L40" s="767">
        <v>346005197.30199939</v>
      </c>
      <c r="M40" s="769">
        <f t="shared" si="1"/>
        <v>0.9951046839607337</v>
      </c>
      <c r="N40" s="761">
        <v>321379644.44666702</v>
      </c>
      <c r="O40" s="761">
        <v>321436301.24666703</v>
      </c>
      <c r="P40" s="761">
        <v>32588366.609999999</v>
      </c>
      <c r="Q40" s="769">
        <f t="shared" si="2"/>
        <v>0.9244449836584101</v>
      </c>
      <c r="R40" s="767">
        <v>321436301.24666703</v>
      </c>
      <c r="S40" s="760">
        <f t="shared" si="3"/>
        <v>0.9244449836584101</v>
      </c>
      <c r="T40" s="812">
        <f t="shared" si="6"/>
        <v>56656.800000011921</v>
      </c>
      <c r="U40" s="1136">
        <f t="shared" si="5"/>
        <v>26271033.347340941</v>
      </c>
    </row>
    <row r="41" spans="1:21" ht="22.5" x14ac:dyDescent="0.25">
      <c r="A41" s="783"/>
      <c r="B41" s="111" t="s">
        <v>124</v>
      </c>
      <c r="C41" s="758"/>
      <c r="D41" s="758"/>
      <c r="E41" s="758"/>
      <c r="F41" s="814"/>
      <c r="G41" s="775"/>
      <c r="H41" s="758">
        <f t="shared" si="0"/>
        <v>0</v>
      </c>
      <c r="I41" s="775"/>
      <c r="J41" s="772"/>
      <c r="K41" s="753"/>
      <c r="L41" s="772"/>
      <c r="M41" s="770" t="e">
        <f t="shared" si="1"/>
        <v>#DIV/0!</v>
      </c>
      <c r="N41" s="762"/>
      <c r="O41" s="762"/>
      <c r="P41" s="762"/>
      <c r="Q41" s="770"/>
      <c r="R41" s="772"/>
      <c r="S41" s="760" t="e">
        <f t="shared" si="3"/>
        <v>#DIV/0!</v>
      </c>
      <c r="T41" s="812">
        <f t="shared" si="6"/>
        <v>0</v>
      </c>
      <c r="U41" s="1137"/>
    </row>
    <row r="42" spans="1:21" ht="22.5" x14ac:dyDescent="0.25">
      <c r="A42" s="783"/>
      <c r="B42" s="111" t="s">
        <v>125</v>
      </c>
      <c r="C42" s="758"/>
      <c r="D42" s="758"/>
      <c r="E42" s="758"/>
      <c r="F42" s="814"/>
      <c r="G42" s="775"/>
      <c r="H42" s="758">
        <f t="shared" si="0"/>
        <v>0</v>
      </c>
      <c r="I42" s="775"/>
      <c r="J42" s="772"/>
      <c r="K42" s="753"/>
      <c r="L42" s="772"/>
      <c r="M42" s="770" t="e">
        <f t="shared" si="1"/>
        <v>#DIV/0!</v>
      </c>
      <c r="N42" s="762"/>
      <c r="O42" s="762"/>
      <c r="P42" s="762"/>
      <c r="Q42" s="770"/>
      <c r="R42" s="772"/>
      <c r="S42" s="760" t="e">
        <f t="shared" si="3"/>
        <v>#DIV/0!</v>
      </c>
      <c r="T42" s="812">
        <f t="shared" si="6"/>
        <v>0</v>
      </c>
      <c r="U42" s="1137"/>
    </row>
    <row r="43" spans="1:21" ht="22.5" x14ac:dyDescent="0.25">
      <c r="A43" s="784"/>
      <c r="B43" s="111" t="s">
        <v>126</v>
      </c>
      <c r="C43" s="759"/>
      <c r="D43" s="759"/>
      <c r="E43" s="759"/>
      <c r="F43" s="815"/>
      <c r="G43" s="776"/>
      <c r="H43" s="759">
        <f t="shared" si="0"/>
        <v>0</v>
      </c>
      <c r="I43" s="776"/>
      <c r="J43" s="768"/>
      <c r="K43" s="754"/>
      <c r="L43" s="768"/>
      <c r="M43" s="771" t="e">
        <f t="shared" si="1"/>
        <v>#DIV/0!</v>
      </c>
      <c r="N43" s="763"/>
      <c r="O43" s="763"/>
      <c r="P43" s="763"/>
      <c r="Q43" s="771"/>
      <c r="R43" s="768"/>
      <c r="S43" s="760" t="e">
        <f t="shared" si="3"/>
        <v>#DIV/0!</v>
      </c>
      <c r="T43" s="812">
        <f t="shared" si="6"/>
        <v>0</v>
      </c>
      <c r="U43" s="1138"/>
    </row>
    <row r="44" spans="1:21" ht="22.5" x14ac:dyDescent="0.25">
      <c r="A44" s="110" t="s">
        <v>127</v>
      </c>
      <c r="B44" s="111" t="s">
        <v>52</v>
      </c>
      <c r="C44" s="594">
        <v>5409854.166666667</v>
      </c>
      <c r="D44" s="594">
        <v>4982260.6375000002</v>
      </c>
      <c r="E44" s="594">
        <v>427593.53250000009</v>
      </c>
      <c r="F44" s="594">
        <v>2488730</v>
      </c>
      <c r="G44" s="618"/>
      <c r="H44" s="594">
        <f t="shared" si="0"/>
        <v>4982260.6375000002</v>
      </c>
      <c r="I44" s="618"/>
      <c r="J44" s="555">
        <v>5374580.8100000005</v>
      </c>
      <c r="K44" s="620">
        <v>317071.90000000002</v>
      </c>
      <c r="L44" s="621">
        <v>5374580.8100000005</v>
      </c>
      <c r="M44" s="64">
        <f t="shared" si="1"/>
        <v>1.0787434060649341</v>
      </c>
      <c r="N44" s="533">
        <v>4866424.3766666697</v>
      </c>
      <c r="O44" s="533">
        <v>4866424.3766666697</v>
      </c>
      <c r="P44" s="533">
        <v>223525.68</v>
      </c>
      <c r="Q44" s="64">
        <f t="shared" si="2"/>
        <v>0.97675026072271987</v>
      </c>
      <c r="R44" s="555">
        <v>4866424.3766666697</v>
      </c>
      <c r="S44" s="376">
        <f t="shared" si="3"/>
        <v>0.97675026072271987</v>
      </c>
      <c r="T44" s="621">
        <f t="shared" si="6"/>
        <v>0</v>
      </c>
      <c r="U44" s="269">
        <f t="shared" si="5"/>
        <v>115836.26083333045</v>
      </c>
    </row>
    <row r="45" spans="1:21" ht="26.25" customHeight="1" x14ac:dyDescent="0.25">
      <c r="A45" s="276" t="s">
        <v>53</v>
      </c>
      <c r="B45" s="111" t="s">
        <v>54</v>
      </c>
      <c r="C45" s="594">
        <v>10980000.444444446</v>
      </c>
      <c r="D45" s="594">
        <v>6284036.8874444431</v>
      </c>
      <c r="E45" s="594">
        <v>4695963.1125555569</v>
      </c>
      <c r="F45" s="594">
        <v>5270400</v>
      </c>
      <c r="G45" s="618"/>
      <c r="H45" s="594">
        <f t="shared" si="0"/>
        <v>6284036.8874444431</v>
      </c>
      <c r="I45" s="619"/>
      <c r="J45" s="611">
        <v>10842809.42</v>
      </c>
      <c r="K45" s="496">
        <v>0</v>
      </c>
      <c r="L45" s="108">
        <f>'M16'!M8</f>
        <v>10291886.17</v>
      </c>
      <c r="M45" s="64">
        <f t="shared" si="1"/>
        <v>1.6377825837660616</v>
      </c>
      <c r="N45" s="746">
        <v>2294315.87</v>
      </c>
      <c r="O45" s="84">
        <f>'M16'!U8</f>
        <v>2663970.7400000002</v>
      </c>
      <c r="P45" s="157">
        <v>0</v>
      </c>
      <c r="Q45" s="64">
        <f t="shared" si="2"/>
        <v>0.42392665538336283</v>
      </c>
      <c r="R45" s="269">
        <v>2663970.7400000002</v>
      </c>
      <c r="S45" s="558">
        <f t="shared" si="3"/>
        <v>0.42392665538336283</v>
      </c>
      <c r="T45" s="256">
        <f t="shared" si="6"/>
        <v>369654.87000000011</v>
      </c>
      <c r="U45" s="269">
        <f t="shared" si="5"/>
        <v>3620066.1474444428</v>
      </c>
    </row>
    <row r="46" spans="1:21" ht="31.5" customHeight="1" x14ac:dyDescent="0.25">
      <c r="A46" s="90" t="s">
        <v>55</v>
      </c>
      <c r="B46" s="65" t="s">
        <v>56</v>
      </c>
      <c r="C46" s="594">
        <v>6669999.557</v>
      </c>
      <c r="D46" s="594">
        <v>5881571.5269999998</v>
      </c>
      <c r="E46" s="594">
        <v>788428.47300000023</v>
      </c>
      <c r="F46" s="594">
        <v>3201600</v>
      </c>
      <c r="G46" s="614"/>
      <c r="H46" s="594">
        <f t="shared" si="0"/>
        <v>5881571.5269999998</v>
      </c>
      <c r="I46" s="593"/>
      <c r="J46" s="609">
        <v>6670000</v>
      </c>
      <c r="K46" s="496">
        <v>0</v>
      </c>
      <c r="L46" s="108">
        <f>'M16'!M15</f>
        <v>6094538.1799999997</v>
      </c>
      <c r="M46" s="64">
        <f t="shared" si="1"/>
        <v>1.0362091410471423</v>
      </c>
      <c r="N46" s="746">
        <v>5309861.8200000012</v>
      </c>
      <c r="O46" s="84">
        <f>'M16'!U15</f>
        <v>5309861.8200000012</v>
      </c>
      <c r="P46" s="157">
        <v>0</v>
      </c>
      <c r="Q46" s="229">
        <f t="shared" si="2"/>
        <v>0.90279643724887093</v>
      </c>
      <c r="R46" s="269">
        <v>5309861.8200000012</v>
      </c>
      <c r="S46" s="560">
        <f t="shared" si="3"/>
        <v>0.90279643724887093</v>
      </c>
      <c r="T46" s="256">
        <f t="shared" ref="T46:T52" si="7">O46-N46</f>
        <v>0</v>
      </c>
      <c r="U46" s="269">
        <f t="shared" si="5"/>
        <v>571709.70699999854</v>
      </c>
    </row>
    <row r="47" spans="1:21" x14ac:dyDescent="0.25">
      <c r="A47" s="90" t="s">
        <v>151</v>
      </c>
      <c r="B47" s="65" t="s">
        <v>58</v>
      </c>
      <c r="C47" s="594">
        <v>3020000</v>
      </c>
      <c r="D47" s="594">
        <v>1856652.3654444444</v>
      </c>
      <c r="E47" s="594">
        <v>1163347.6345555556</v>
      </c>
      <c r="F47" s="594">
        <v>1449600</v>
      </c>
      <c r="G47" s="614"/>
      <c r="H47" s="594">
        <f t="shared" si="0"/>
        <v>1856652.3654444444</v>
      </c>
      <c r="I47" s="593"/>
      <c r="J47" s="611">
        <v>3020000</v>
      </c>
      <c r="K47" s="496">
        <v>0</v>
      </c>
      <c r="L47" s="108">
        <f>'M16'!M24</f>
        <v>2206377.7599999998</v>
      </c>
      <c r="M47" s="64">
        <f t="shared" si="1"/>
        <v>1.1883634228273199</v>
      </c>
      <c r="N47" s="746">
        <v>1150690.24</v>
      </c>
      <c r="O47" s="84">
        <f>'M16'!U25</f>
        <v>1150690.24</v>
      </c>
      <c r="P47" s="157">
        <v>0</v>
      </c>
      <c r="Q47" s="229">
        <f t="shared" si="2"/>
        <v>0.61976612392086039</v>
      </c>
      <c r="R47" s="269">
        <v>1150690.24</v>
      </c>
      <c r="S47" s="560">
        <f t="shared" si="3"/>
        <v>0.61976612392086039</v>
      </c>
      <c r="T47" s="256">
        <f t="shared" si="7"/>
        <v>0</v>
      </c>
      <c r="U47" s="269">
        <f t="shared" si="5"/>
        <v>705962.12544444436</v>
      </c>
    </row>
    <row r="48" spans="1:21" ht="22.5" x14ac:dyDescent="0.25">
      <c r="A48" s="90" t="s">
        <v>59</v>
      </c>
      <c r="B48" s="65" t="s">
        <v>60</v>
      </c>
      <c r="C48" s="594">
        <v>1880000</v>
      </c>
      <c r="D48" s="594">
        <v>1002666.6666666666</v>
      </c>
      <c r="E48" s="594">
        <v>877333.33333333337</v>
      </c>
      <c r="F48" s="594">
        <v>902400</v>
      </c>
      <c r="G48" s="614"/>
      <c r="H48" s="594">
        <f t="shared" si="0"/>
        <v>1002666.6666666666</v>
      </c>
      <c r="I48" s="593"/>
      <c r="J48" s="611">
        <v>1880000</v>
      </c>
      <c r="K48" s="496">
        <v>0</v>
      </c>
      <c r="L48" s="108">
        <f>'M16'!M35</f>
        <v>568352.41</v>
      </c>
      <c r="M48" s="64">
        <f t="shared" si="1"/>
        <v>0.56684083444148936</v>
      </c>
      <c r="N48" s="746">
        <v>0</v>
      </c>
      <c r="O48" s="84">
        <f>'M16'!U36</f>
        <v>0</v>
      </c>
      <c r="P48" s="157">
        <v>0</v>
      </c>
      <c r="Q48" s="229">
        <f t="shared" si="2"/>
        <v>0</v>
      </c>
      <c r="R48" s="269">
        <v>0</v>
      </c>
      <c r="S48" s="560">
        <f t="shared" si="3"/>
        <v>0</v>
      </c>
      <c r="T48" s="256">
        <f t="shared" si="7"/>
        <v>0</v>
      </c>
      <c r="U48" s="269">
        <f t="shared" si="5"/>
        <v>1002666.6666666666</v>
      </c>
    </row>
    <row r="49" spans="1:21" ht="22.5" x14ac:dyDescent="0.25">
      <c r="A49" s="90" t="s">
        <v>61</v>
      </c>
      <c r="B49" s="65" t="s">
        <v>62</v>
      </c>
      <c r="C49" s="594">
        <v>334626</v>
      </c>
      <c r="D49" s="594">
        <v>178467.19999999998</v>
      </c>
      <c r="E49" s="594">
        <v>156158.80000000002</v>
      </c>
      <c r="F49" s="594">
        <v>160620.47999999998</v>
      </c>
      <c r="G49" s="614"/>
      <c r="H49" s="594">
        <f t="shared" si="0"/>
        <v>178467.19999999998</v>
      </c>
      <c r="I49" s="593"/>
      <c r="J49" s="609">
        <v>334626</v>
      </c>
      <c r="K49" s="496">
        <v>0</v>
      </c>
      <c r="L49" s="108">
        <f>'M16'!M44</f>
        <v>64253</v>
      </c>
      <c r="M49" s="64">
        <f t="shared" si="1"/>
        <v>0.36002694052464546</v>
      </c>
      <c r="N49" s="746">
        <v>0</v>
      </c>
      <c r="O49" s="84">
        <f>'M16'!U45</f>
        <v>0</v>
      </c>
      <c r="P49" s="157">
        <v>0</v>
      </c>
      <c r="Q49" s="229">
        <f t="shared" si="2"/>
        <v>0</v>
      </c>
      <c r="R49" s="269">
        <v>0</v>
      </c>
      <c r="S49" s="560">
        <f t="shared" si="3"/>
        <v>0</v>
      </c>
      <c r="T49" s="256">
        <f t="shared" si="7"/>
        <v>0</v>
      </c>
      <c r="U49" s="269">
        <f t="shared" si="5"/>
        <v>178467.19999999998</v>
      </c>
    </row>
    <row r="50" spans="1:21" x14ac:dyDescent="0.25">
      <c r="A50" s="90" t="s">
        <v>63</v>
      </c>
      <c r="B50" s="65" t="s">
        <v>64</v>
      </c>
      <c r="C50" s="594">
        <v>415697.91999999998</v>
      </c>
      <c r="D50" s="594">
        <v>264570.29133333336</v>
      </c>
      <c r="E50" s="594">
        <v>151127.70866666664</v>
      </c>
      <c r="F50" s="594">
        <v>199535.00159999999</v>
      </c>
      <c r="G50" s="614"/>
      <c r="H50" s="594">
        <f t="shared" si="0"/>
        <v>264570.29133333336</v>
      </c>
      <c r="I50" s="593"/>
      <c r="J50" s="609">
        <v>415698</v>
      </c>
      <c r="K50" s="496">
        <v>0</v>
      </c>
      <c r="L50" s="108">
        <f>'M16'!M53</f>
        <v>477759.64999999997</v>
      </c>
      <c r="M50" s="64">
        <f t="shared" si="1"/>
        <v>1.8057947760962636</v>
      </c>
      <c r="N50" s="746">
        <v>91852.83</v>
      </c>
      <c r="O50" s="84">
        <f>'M16'!U53</f>
        <v>91852.83</v>
      </c>
      <c r="P50" s="157">
        <v>0</v>
      </c>
      <c r="Q50" s="64">
        <f t="shared" si="2"/>
        <v>0.34717741563913612</v>
      </c>
      <c r="R50" s="269">
        <v>91852.83</v>
      </c>
      <c r="S50" s="558">
        <f t="shared" si="3"/>
        <v>0.34717741563913612</v>
      </c>
      <c r="T50" s="256">
        <f t="shared" si="7"/>
        <v>0</v>
      </c>
      <c r="U50" s="269">
        <f t="shared" si="5"/>
        <v>172717.46133333334</v>
      </c>
    </row>
    <row r="51" spans="1:21" x14ac:dyDescent="0.25">
      <c r="A51" s="90" t="s">
        <v>65</v>
      </c>
      <c r="B51" s="65" t="s">
        <v>66</v>
      </c>
      <c r="C51" s="600">
        <v>600000</v>
      </c>
      <c r="D51" s="600">
        <v>606791.91449999996</v>
      </c>
      <c r="E51" s="600">
        <v>-6791.9144999999362</v>
      </c>
      <c r="F51" s="600">
        <v>288000</v>
      </c>
      <c r="G51" s="622"/>
      <c r="H51" s="600">
        <f t="shared" si="0"/>
        <v>606791.91449999996</v>
      </c>
      <c r="I51" s="592">
        <v>125817</v>
      </c>
      <c r="J51" s="352">
        <f>E51+I51</f>
        <v>119025.08550000006</v>
      </c>
      <c r="K51" s="496">
        <v>0</v>
      </c>
      <c r="L51" s="159">
        <v>725817</v>
      </c>
      <c r="M51" s="64">
        <f t="shared" si="1"/>
        <v>0.99072914024717351</v>
      </c>
      <c r="N51" s="747">
        <v>679804.03999999992</v>
      </c>
      <c r="O51" s="632">
        <f>'M19'!T6</f>
        <v>727454.03999999992</v>
      </c>
      <c r="P51" s="157">
        <v>0</v>
      </c>
      <c r="Q51" s="64">
        <f t="shared" si="2"/>
        <v>0.99296367489123694</v>
      </c>
      <c r="R51" s="262">
        <v>727454.03999999992</v>
      </c>
      <c r="S51" s="558">
        <f t="shared" si="3"/>
        <v>1.1988525598588871</v>
      </c>
      <c r="T51" s="256">
        <f t="shared" si="7"/>
        <v>47650</v>
      </c>
      <c r="U51" s="269">
        <f t="shared" si="5"/>
        <v>-120662.12549999997</v>
      </c>
    </row>
    <row r="52" spans="1:21" ht="21.6" customHeight="1" x14ac:dyDescent="0.25">
      <c r="A52" s="786" t="s">
        <v>67</v>
      </c>
      <c r="B52" s="65" t="s">
        <v>152</v>
      </c>
      <c r="C52" s="757">
        <v>80088616.870000005</v>
      </c>
      <c r="D52" s="757">
        <v>55628503.496888891</v>
      </c>
      <c r="E52" s="757">
        <v>24460113.373111114</v>
      </c>
      <c r="F52" s="757">
        <v>38442536.001599997</v>
      </c>
      <c r="G52" s="774"/>
      <c r="H52" s="757">
        <f t="shared" si="0"/>
        <v>55628503.496888891</v>
      </c>
      <c r="I52" s="816">
        <v>11604813</v>
      </c>
      <c r="J52" s="801">
        <f>77588615+I52</f>
        <v>89193428</v>
      </c>
      <c r="K52" s="788">
        <v>9819828.6199999992</v>
      </c>
      <c r="L52" s="779">
        <f>K52+'M19'!M16</f>
        <v>84234609.659999996</v>
      </c>
      <c r="M52" s="769">
        <f t="shared" si="1"/>
        <v>1.2528700657492897</v>
      </c>
      <c r="N52" s="818">
        <v>32718685.409999996</v>
      </c>
      <c r="O52" s="773">
        <f>P52+'M19'!T16</f>
        <v>37172371.380000003</v>
      </c>
      <c r="P52" s="773">
        <v>9819828.6199999992</v>
      </c>
      <c r="Q52" s="769">
        <f t="shared" si="2"/>
        <v>0.55288617781810734</v>
      </c>
      <c r="R52" s="788">
        <v>37172371.380000003</v>
      </c>
      <c r="S52" s="764">
        <f t="shared" si="3"/>
        <v>0.6682252630088984</v>
      </c>
      <c r="T52" s="767">
        <f t="shared" si="7"/>
        <v>4453685.9700000063</v>
      </c>
      <c r="U52" s="1136">
        <f t="shared" si="5"/>
        <v>18456132.116888888</v>
      </c>
    </row>
    <row r="53" spans="1:21" x14ac:dyDescent="0.25">
      <c r="A53" s="787"/>
      <c r="B53" s="65" t="s">
        <v>153</v>
      </c>
      <c r="C53" s="759"/>
      <c r="D53" s="759"/>
      <c r="E53" s="759">
        <v>0</v>
      </c>
      <c r="F53" s="759"/>
      <c r="G53" s="776"/>
      <c r="H53" s="759">
        <f t="shared" si="0"/>
        <v>0</v>
      </c>
      <c r="I53" s="817"/>
      <c r="J53" s="801"/>
      <c r="K53" s="788"/>
      <c r="L53" s="780"/>
      <c r="M53" s="771" t="e">
        <f t="shared" si="1"/>
        <v>#DIV/0!</v>
      </c>
      <c r="N53" s="819"/>
      <c r="O53" s="773"/>
      <c r="P53" s="773"/>
      <c r="Q53" s="771" t="e">
        <f t="shared" si="2"/>
        <v>#DIV/0!</v>
      </c>
      <c r="R53" s="788"/>
      <c r="S53" s="764"/>
      <c r="T53" s="768"/>
      <c r="U53" s="1138"/>
    </row>
    <row r="54" spans="1:21" ht="22.5" x14ac:dyDescent="0.25">
      <c r="A54" s="90" t="s">
        <v>414</v>
      </c>
      <c r="B54" s="65" t="s">
        <v>70</v>
      </c>
      <c r="C54" s="601">
        <v>2000000</v>
      </c>
      <c r="D54" s="601">
        <v>1595307.3188333332</v>
      </c>
      <c r="E54" s="601">
        <v>404692.68116666679</v>
      </c>
      <c r="F54" s="601">
        <v>960000</v>
      </c>
      <c r="G54" s="613"/>
      <c r="H54" s="601">
        <f t="shared" si="0"/>
        <v>1595307.3188333332</v>
      </c>
      <c r="I54" s="623">
        <v>899325</v>
      </c>
      <c r="J54" s="611">
        <f>2500001+I54</f>
        <v>3399326</v>
      </c>
      <c r="K54" s="624">
        <v>507728.80000000005</v>
      </c>
      <c r="L54" s="108">
        <f>K54+'M19'!M26</f>
        <v>2751894.5</v>
      </c>
      <c r="M54" s="64">
        <f t="shared" si="1"/>
        <v>1.1031262920890004</v>
      </c>
      <c r="N54" s="629">
        <v>1317875.6799999997</v>
      </c>
      <c r="O54" s="603">
        <f>P54+'M19'!T26</f>
        <v>1317875.6799999997</v>
      </c>
      <c r="P54" s="626">
        <v>507728.80000000005</v>
      </c>
      <c r="Q54" s="64">
        <f t="shared" si="2"/>
        <v>0.52828453718435409</v>
      </c>
      <c r="R54" s="241">
        <v>1317875.6799999997</v>
      </c>
      <c r="S54" s="558">
        <f t="shared" si="3"/>
        <v>0.82609517579583192</v>
      </c>
      <c r="T54" s="256">
        <f t="shared" si="6"/>
        <v>0</v>
      </c>
      <c r="U54" s="269">
        <f t="shared" si="5"/>
        <v>277431.63883333351</v>
      </c>
    </row>
    <row r="55" spans="1:21" x14ac:dyDescent="0.25">
      <c r="A55" s="90" t="s">
        <v>415</v>
      </c>
      <c r="B55" s="65" t="s">
        <v>72</v>
      </c>
      <c r="C55" s="595">
        <v>10000000</v>
      </c>
      <c r="D55" s="595">
        <v>10359586.494555555</v>
      </c>
      <c r="E55" s="595">
        <v>-359586.49455555523</v>
      </c>
      <c r="F55" s="595">
        <v>4800000</v>
      </c>
      <c r="G55" s="613"/>
      <c r="H55" s="595">
        <f t="shared" si="0"/>
        <v>10359586.494555555</v>
      </c>
      <c r="I55" s="623">
        <v>5070045</v>
      </c>
      <c r="J55" s="611">
        <f>E55+I55</f>
        <v>4710458.5054444447</v>
      </c>
      <c r="K55" s="625">
        <v>745746.45</v>
      </c>
      <c r="L55" s="108">
        <f>K55+'M19'!M35</f>
        <v>17102053.770000003</v>
      </c>
      <c r="M55" s="64">
        <f t="shared" si="1"/>
        <v>1.1083902927969844</v>
      </c>
      <c r="N55" s="629">
        <v>11466477.27</v>
      </c>
      <c r="O55" s="629">
        <f>P55+'M19'!T35</f>
        <v>11929607.27</v>
      </c>
      <c r="P55" s="626">
        <v>745746.45</v>
      </c>
      <c r="Q55" s="64">
        <f t="shared" si="2"/>
        <v>0.77316216360769463</v>
      </c>
      <c r="R55" s="266">
        <v>11929607.27</v>
      </c>
      <c r="S55" s="558">
        <f t="shared" si="3"/>
        <v>1.151552455908309</v>
      </c>
      <c r="T55" s="256">
        <f>O55-N55</f>
        <v>463130</v>
      </c>
      <c r="U55" s="269">
        <f t="shared" si="5"/>
        <v>-1570020.7754444443</v>
      </c>
    </row>
    <row r="56" spans="1:21" ht="22.5" x14ac:dyDescent="0.25">
      <c r="A56" s="66" t="s">
        <v>470</v>
      </c>
      <c r="B56" s="67" t="s">
        <v>154</v>
      </c>
      <c r="C56" s="742">
        <v>11976022.916666668</v>
      </c>
      <c r="D56" s="595">
        <v>9506079.9199999999</v>
      </c>
      <c r="E56" s="595">
        <v>2469943</v>
      </c>
      <c r="F56" s="595">
        <v>5748491</v>
      </c>
      <c r="G56" s="613"/>
      <c r="H56" s="595">
        <f t="shared" si="0"/>
        <v>9506079.9199999999</v>
      </c>
      <c r="I56" s="593"/>
      <c r="J56" s="611">
        <v>11976022.92</v>
      </c>
      <c r="K56" s="556">
        <v>1602262.76</v>
      </c>
      <c r="L56" s="108">
        <v>9908010.5899999999</v>
      </c>
      <c r="M56" s="64">
        <f t="shared" si="1"/>
        <v>1.0422814318186375</v>
      </c>
      <c r="N56" s="629">
        <v>1602262.76</v>
      </c>
      <c r="O56" s="629">
        <v>1602262.76</v>
      </c>
      <c r="P56" s="157">
        <v>1602262.76</v>
      </c>
      <c r="Q56" s="64">
        <f t="shared" si="2"/>
        <v>0.16855136643959542</v>
      </c>
      <c r="R56" s="266">
        <v>1602262.76</v>
      </c>
      <c r="S56" s="558">
        <f t="shared" si="3"/>
        <v>0.16855136643959542</v>
      </c>
      <c r="T56" s="256">
        <f t="shared" si="6"/>
        <v>0</v>
      </c>
      <c r="U56" s="269">
        <f t="shared" si="5"/>
        <v>7903817.1600000001</v>
      </c>
    </row>
    <row r="57" spans="1:21" ht="33.75" x14ac:dyDescent="0.25">
      <c r="A57" s="66" t="s">
        <v>315</v>
      </c>
      <c r="B57" s="67" t="s">
        <v>384</v>
      </c>
      <c r="C57" s="595">
        <v>1998000</v>
      </c>
      <c r="D57" s="595">
        <v>1998000</v>
      </c>
      <c r="E57" s="595">
        <v>0</v>
      </c>
      <c r="F57" s="595">
        <v>959040</v>
      </c>
      <c r="G57" s="613"/>
      <c r="H57" s="595">
        <f t="shared" si="0"/>
        <v>1998000</v>
      </c>
      <c r="I57" s="108">
        <v>2000000</v>
      </c>
      <c r="J57" s="611">
        <f>E57+I57</f>
        <v>2000000</v>
      </c>
      <c r="K57" s="496">
        <v>0</v>
      </c>
      <c r="L57" s="613">
        <f>'M21'!M7</f>
        <v>2954000</v>
      </c>
      <c r="M57" s="64">
        <f t="shared" si="1"/>
        <v>0.73886943471735866</v>
      </c>
      <c r="N57" s="597">
        <v>2888999.99</v>
      </c>
      <c r="O57" s="597">
        <f>'M21'!U6</f>
        <v>2888999.99</v>
      </c>
      <c r="P57" s="597">
        <v>0</v>
      </c>
      <c r="Q57" s="64">
        <f t="shared" si="2"/>
        <v>0.72261130315157585</v>
      </c>
      <c r="R57" s="556">
        <v>1998000</v>
      </c>
      <c r="S57" s="558">
        <f t="shared" si="3"/>
        <v>1</v>
      </c>
      <c r="T57" s="256">
        <f>O57-N57</f>
        <v>0</v>
      </c>
      <c r="U57" s="269">
        <f t="shared" si="5"/>
        <v>0</v>
      </c>
    </row>
    <row r="58" spans="1:21" x14ac:dyDescent="0.25">
      <c r="A58" s="785" t="s">
        <v>114</v>
      </c>
      <c r="B58" s="785"/>
      <c r="C58" s="595">
        <v>16200.169999999995</v>
      </c>
      <c r="D58" s="595">
        <v>16200.169999999995</v>
      </c>
      <c r="E58" s="595">
        <v>0</v>
      </c>
      <c r="F58" s="595">
        <v>7776.12</v>
      </c>
      <c r="G58" s="613"/>
      <c r="H58" s="595">
        <f t="shared" si="0"/>
        <v>16200.169999999995</v>
      </c>
      <c r="I58" s="108"/>
      <c r="J58" s="556">
        <v>16200.17</v>
      </c>
      <c r="K58" s="556">
        <v>16200.169999999995</v>
      </c>
      <c r="L58" s="256">
        <v>16200.169999999995</v>
      </c>
      <c r="M58" s="64">
        <f t="shared" si="1"/>
        <v>1</v>
      </c>
      <c r="N58" s="157">
        <v>16200.169999999995</v>
      </c>
      <c r="O58" s="157">
        <v>16200.169999999995</v>
      </c>
      <c r="P58" s="157">
        <v>16200.169999999995</v>
      </c>
      <c r="Q58" s="64">
        <f t="shared" si="2"/>
        <v>1</v>
      </c>
      <c r="R58" s="556">
        <v>16200.169999999995</v>
      </c>
      <c r="S58" s="558">
        <f>R58/H58</f>
        <v>1</v>
      </c>
      <c r="T58" s="256">
        <f t="shared" si="6"/>
        <v>0</v>
      </c>
      <c r="U58" s="269">
        <f t="shared" si="5"/>
        <v>0</v>
      </c>
    </row>
    <row r="59" spans="1:21" s="205" customFormat="1" ht="17.25" customHeight="1" x14ac:dyDescent="0.2">
      <c r="A59" s="149" t="s">
        <v>128</v>
      </c>
      <c r="B59" s="150"/>
      <c r="C59" s="741">
        <f>SUM(C6:C58)</f>
        <v>1667061440.3370397</v>
      </c>
      <c r="D59" s="741">
        <f>SUM(D6:D58)</f>
        <v>1584519396.9763575</v>
      </c>
      <c r="E59" s="741">
        <f>SUM(E6:E58)</f>
        <v>82542043.971142888</v>
      </c>
      <c r="F59" s="741">
        <f>SUM(F6:F58)</f>
        <v>800189491.44560015</v>
      </c>
      <c r="G59" s="52">
        <f t="shared" ref="G59:L59" si="8">SUM(G6:G58)</f>
        <v>62231538.870000005</v>
      </c>
      <c r="H59" s="52">
        <f t="shared" si="0"/>
        <v>1646750935.8463573</v>
      </c>
      <c r="I59" s="52">
        <f t="shared" si="8"/>
        <v>53400000</v>
      </c>
      <c r="J59" s="52">
        <f>SUM(J6:J58)</f>
        <v>1751357693.1238847</v>
      </c>
      <c r="K59" s="52">
        <f t="shared" si="8"/>
        <v>241262189.99596596</v>
      </c>
      <c r="L59" s="52">
        <f t="shared" si="8"/>
        <v>1799243924.2929401</v>
      </c>
      <c r="M59" s="54">
        <f t="shared" si="1"/>
        <v>1.0582848183401159</v>
      </c>
      <c r="N59" s="53">
        <f>SUM(N6:N58)</f>
        <v>1518074188.0192096</v>
      </c>
      <c r="O59" s="53">
        <f>SUM(O6:O58)</f>
        <v>1531694978.6916664</v>
      </c>
      <c r="P59" s="53">
        <f>SUM(P6:P58)</f>
        <v>239445731.87416658</v>
      </c>
      <c r="Q59" s="54">
        <f t="shared" si="2"/>
        <v>0.90091705765474794</v>
      </c>
      <c r="R59" s="52">
        <f>SUM(R6:R58)</f>
        <v>1523302779.6616664</v>
      </c>
      <c r="S59" s="561">
        <f>R59/H59</f>
        <v>0.92503532046195924</v>
      </c>
      <c r="T59" s="52">
        <f>SUM(T6:T58)</f>
        <v>13620790.6724566</v>
      </c>
      <c r="U59" s="52">
        <f t="shared" si="5"/>
        <v>123448156.18469095</v>
      </c>
    </row>
    <row r="60" spans="1:21" s="201" customFormat="1" ht="30.6" customHeight="1" x14ac:dyDescent="0.2">
      <c r="A60" s="806" t="s">
        <v>690</v>
      </c>
      <c r="B60" s="806"/>
      <c r="C60" s="807"/>
      <c r="D60" s="807"/>
      <c r="E60" s="806"/>
      <c r="F60" s="806"/>
      <c r="G60" s="806"/>
      <c r="H60" s="806"/>
      <c r="I60" s="806"/>
      <c r="J60" s="806"/>
      <c r="K60" s="806"/>
      <c r="L60" s="806"/>
      <c r="M60" s="806"/>
      <c r="N60" s="806"/>
      <c r="O60" s="806"/>
      <c r="P60" s="806"/>
      <c r="Q60" s="806"/>
      <c r="R60" s="806"/>
      <c r="S60" s="806"/>
      <c r="T60" s="806"/>
    </row>
    <row r="61" spans="1:21" ht="32.25" customHeight="1" x14ac:dyDescent="0.25">
      <c r="A61" s="808" t="s">
        <v>740</v>
      </c>
      <c r="B61" s="808"/>
      <c r="C61" s="808"/>
      <c r="D61" s="808"/>
      <c r="E61" s="808"/>
      <c r="F61" s="808"/>
      <c r="G61" s="808"/>
      <c r="H61" s="808"/>
      <c r="I61" s="808"/>
      <c r="J61" s="808"/>
      <c r="K61" s="808"/>
      <c r="L61" s="808"/>
      <c r="M61" s="808"/>
      <c r="N61" s="808"/>
      <c r="O61" s="808"/>
      <c r="P61" s="808"/>
      <c r="Q61" s="808"/>
      <c r="R61" s="808"/>
      <c r="S61" s="808"/>
      <c r="T61" s="808"/>
    </row>
    <row r="62" spans="1:21" ht="17.25" customHeight="1" x14ac:dyDescent="0.25">
      <c r="A62" s="781" t="s">
        <v>730</v>
      </c>
      <c r="B62" s="781"/>
      <c r="C62" s="781"/>
      <c r="D62" s="781"/>
      <c r="E62" s="781"/>
      <c r="F62" s="781"/>
      <c r="G62" s="781"/>
      <c r="H62" s="781"/>
      <c r="I62" s="781"/>
      <c r="J62" s="781"/>
      <c r="K62" s="781"/>
      <c r="L62" s="781"/>
      <c r="M62" s="781"/>
      <c r="N62" s="781"/>
      <c r="O62" s="781"/>
      <c r="P62" s="781"/>
      <c r="Q62" s="781"/>
      <c r="R62" s="781"/>
      <c r="S62" s="781"/>
      <c r="T62" s="781"/>
    </row>
    <row r="63" spans="1:21" ht="16.149999999999999" customHeight="1" x14ac:dyDescent="0.25">
      <c r="A63" s="781" t="s">
        <v>741</v>
      </c>
      <c r="B63" s="781"/>
      <c r="C63" s="781"/>
      <c r="D63" s="781"/>
      <c r="E63" s="781"/>
      <c r="F63" s="781"/>
      <c r="G63" s="781"/>
      <c r="H63" s="781"/>
      <c r="I63" s="781"/>
      <c r="J63" s="781"/>
      <c r="K63" s="781"/>
      <c r="L63" s="781"/>
      <c r="M63" s="781"/>
      <c r="N63" s="781"/>
      <c r="O63" s="781"/>
      <c r="P63" s="781"/>
      <c r="Q63" s="781"/>
      <c r="R63" s="781"/>
      <c r="S63" s="781"/>
      <c r="T63" s="781"/>
    </row>
    <row r="64" spans="1:21" ht="17.25" customHeight="1" x14ac:dyDescent="0.25">
      <c r="A64" s="781" t="s">
        <v>472</v>
      </c>
      <c r="B64" s="781"/>
      <c r="C64" s="781"/>
      <c r="D64" s="781"/>
      <c r="E64" s="781"/>
      <c r="F64" s="781"/>
      <c r="G64" s="781"/>
      <c r="H64" s="781"/>
      <c r="I64" s="781"/>
      <c r="J64" s="781"/>
      <c r="K64" s="781"/>
      <c r="L64" s="781"/>
      <c r="M64" s="781"/>
      <c r="N64" s="781"/>
      <c r="O64" s="781"/>
      <c r="P64" s="781"/>
      <c r="Q64" s="781"/>
      <c r="R64" s="781"/>
      <c r="S64" s="781"/>
      <c r="T64" s="781"/>
    </row>
    <row r="65" spans="1:20" x14ac:dyDescent="0.25">
      <c r="A65" s="781" t="s">
        <v>667</v>
      </c>
      <c r="B65" s="781"/>
      <c r="C65" s="781"/>
      <c r="D65" s="781"/>
      <c r="E65" s="781"/>
      <c r="F65" s="781"/>
      <c r="G65" s="781"/>
      <c r="H65" s="781"/>
      <c r="I65" s="781"/>
      <c r="J65" s="781"/>
      <c r="K65" s="781"/>
      <c r="L65" s="781"/>
      <c r="M65" s="781"/>
      <c r="N65" s="781"/>
      <c r="O65" s="781"/>
      <c r="P65" s="781"/>
      <c r="Q65" s="781"/>
      <c r="R65" s="781"/>
      <c r="S65" s="781"/>
      <c r="T65" s="781"/>
    </row>
    <row r="66" spans="1:20" x14ac:dyDescent="0.25">
      <c r="E66" s="633"/>
      <c r="F66" s="542"/>
      <c r="J66" s="198"/>
      <c r="K66" s="10"/>
      <c r="L66" s="89"/>
      <c r="O66" s="198"/>
    </row>
    <row r="67" spans="1:20" x14ac:dyDescent="0.25">
      <c r="J67" s="198"/>
      <c r="K67" s="10"/>
      <c r="L67" s="89"/>
    </row>
    <row r="68" spans="1:20" x14ac:dyDescent="0.25">
      <c r="A68" s="341"/>
      <c r="K68" s="10"/>
    </row>
    <row r="69" spans="1:20" x14ac:dyDescent="0.25">
      <c r="K69" s="10"/>
    </row>
    <row r="70" spans="1:20" x14ac:dyDescent="0.25">
      <c r="K70" s="10"/>
    </row>
    <row r="71" spans="1:20" x14ac:dyDescent="0.25">
      <c r="K71" s="10"/>
    </row>
    <row r="72" spans="1:20" x14ac:dyDescent="0.25">
      <c r="K72" s="10"/>
    </row>
    <row r="73" spans="1:20" x14ac:dyDescent="0.25">
      <c r="K73" s="10"/>
    </row>
    <row r="74" spans="1:20" x14ac:dyDescent="0.25">
      <c r="K74" s="10"/>
    </row>
    <row r="75" spans="1:20" x14ac:dyDescent="0.25">
      <c r="K75" s="10"/>
    </row>
    <row r="76" spans="1:20" x14ac:dyDescent="0.25">
      <c r="K76" s="10"/>
    </row>
    <row r="77" spans="1:20" x14ac:dyDescent="0.25">
      <c r="K77" s="10"/>
    </row>
    <row r="78" spans="1:20" x14ac:dyDescent="0.25">
      <c r="K78" s="10"/>
    </row>
    <row r="79" spans="1:20" x14ac:dyDescent="0.25">
      <c r="K79" s="10"/>
    </row>
    <row r="80" spans="1:20" x14ac:dyDescent="0.25">
      <c r="K80" s="10"/>
    </row>
    <row r="81" spans="11:11" x14ac:dyDescent="0.25">
      <c r="K81" s="10"/>
    </row>
    <row r="82" spans="11:11" x14ac:dyDescent="0.25">
      <c r="K82" s="10"/>
    </row>
    <row r="83" spans="11:11" x14ac:dyDescent="0.25">
      <c r="K83" s="10"/>
    </row>
    <row r="84" spans="11:11" x14ac:dyDescent="0.25">
      <c r="K84" s="10"/>
    </row>
    <row r="85" spans="11:11" x14ac:dyDescent="0.25">
      <c r="K85" s="10"/>
    </row>
    <row r="86" spans="11:11" x14ac:dyDescent="0.25">
      <c r="K86" s="10"/>
    </row>
    <row r="87" spans="11:11" x14ac:dyDescent="0.25">
      <c r="K87" s="10"/>
    </row>
    <row r="88" spans="11:11" x14ac:dyDescent="0.25">
      <c r="K88" s="10"/>
    </row>
    <row r="89" spans="11:11" x14ac:dyDescent="0.25">
      <c r="K89" s="10"/>
    </row>
    <row r="90" spans="11:11" x14ac:dyDescent="0.25">
      <c r="K90" s="10"/>
    </row>
    <row r="91" spans="11:11" x14ac:dyDescent="0.25">
      <c r="K91" s="10"/>
    </row>
    <row r="92" spans="11:11" x14ac:dyDescent="0.25">
      <c r="K92" s="10"/>
    </row>
    <row r="93" spans="11:11" x14ac:dyDescent="0.25">
      <c r="K93" s="10"/>
    </row>
    <row r="94" spans="11:11" x14ac:dyDescent="0.25">
      <c r="K94" s="10"/>
    </row>
    <row r="95" spans="11:11" x14ac:dyDescent="0.25">
      <c r="K95" s="10"/>
    </row>
    <row r="96" spans="11:11" x14ac:dyDescent="0.25">
      <c r="K96" s="10"/>
    </row>
    <row r="97" spans="11:11" x14ac:dyDescent="0.25">
      <c r="K97" s="10"/>
    </row>
    <row r="98" spans="11:11" x14ac:dyDescent="0.25">
      <c r="K98" s="10"/>
    </row>
    <row r="99" spans="11:11" x14ac:dyDescent="0.25">
      <c r="K99" s="10"/>
    </row>
    <row r="100" spans="11:11" x14ac:dyDescent="0.25">
      <c r="K100" s="10"/>
    </row>
    <row r="101" spans="11:11" x14ac:dyDescent="0.25">
      <c r="K101" s="10"/>
    </row>
    <row r="102" spans="11:11" x14ac:dyDescent="0.25">
      <c r="K102" s="10"/>
    </row>
    <row r="103" spans="11:11" x14ac:dyDescent="0.25">
      <c r="K103" s="10"/>
    </row>
    <row r="104" spans="11:11" x14ac:dyDescent="0.25">
      <c r="K104" s="10"/>
    </row>
    <row r="105" spans="11:11" x14ac:dyDescent="0.25">
      <c r="K105" s="10"/>
    </row>
    <row r="106" spans="11:11" x14ac:dyDescent="0.25">
      <c r="K106" s="10"/>
    </row>
    <row r="107" spans="11:11" x14ac:dyDescent="0.25">
      <c r="K107" s="10"/>
    </row>
    <row r="108" spans="11:11" x14ac:dyDescent="0.25">
      <c r="K108" s="10"/>
    </row>
    <row r="109" spans="11:11" x14ac:dyDescent="0.25">
      <c r="K109" s="10"/>
    </row>
    <row r="110" spans="11:11" x14ac:dyDescent="0.25">
      <c r="K110" s="10"/>
    </row>
    <row r="111" spans="11:11" x14ac:dyDescent="0.25">
      <c r="K111" s="10"/>
    </row>
    <row r="112" spans="11:11" x14ac:dyDescent="0.25">
      <c r="K112" s="10"/>
    </row>
    <row r="113" spans="11:11" x14ac:dyDescent="0.25">
      <c r="K113" s="10"/>
    </row>
    <row r="114" spans="11:11" x14ac:dyDescent="0.25">
      <c r="K114" s="10"/>
    </row>
    <row r="115" spans="11:11" x14ac:dyDescent="0.25">
      <c r="K115" s="10"/>
    </row>
    <row r="116" spans="11:11" x14ac:dyDescent="0.25">
      <c r="K116" s="10"/>
    </row>
    <row r="117" spans="11:11" x14ac:dyDescent="0.25">
      <c r="K117" s="10"/>
    </row>
    <row r="118" spans="11:11" x14ac:dyDescent="0.25">
      <c r="K118" s="10"/>
    </row>
    <row r="119" spans="11:11" x14ac:dyDescent="0.25">
      <c r="K119" s="10"/>
    </row>
    <row r="120" spans="11:11" x14ac:dyDescent="0.25">
      <c r="K120" s="10"/>
    </row>
    <row r="121" spans="11:11" x14ac:dyDescent="0.25">
      <c r="K121" s="10"/>
    </row>
    <row r="122" spans="11:11" x14ac:dyDescent="0.25">
      <c r="K122" s="10"/>
    </row>
    <row r="123" spans="11:11" x14ac:dyDescent="0.25">
      <c r="K123" s="10"/>
    </row>
    <row r="124" spans="11:11" x14ac:dyDescent="0.25">
      <c r="K124" s="10"/>
    </row>
    <row r="125" spans="11:11" x14ac:dyDescent="0.25">
      <c r="K125" s="10"/>
    </row>
    <row r="126" spans="11:11" x14ac:dyDescent="0.25">
      <c r="K126" s="10"/>
    </row>
    <row r="127" spans="11:11" x14ac:dyDescent="0.25">
      <c r="K127" s="10"/>
    </row>
    <row r="128" spans="11:11" x14ac:dyDescent="0.25">
      <c r="K128" s="10"/>
    </row>
    <row r="129" spans="11:11" x14ac:dyDescent="0.25">
      <c r="K129" s="10"/>
    </row>
  </sheetData>
  <mergeCells count="122">
    <mergeCell ref="U40:U43"/>
    <mergeCell ref="U52:U53"/>
    <mergeCell ref="O2:T2"/>
    <mergeCell ref="O3:Q3"/>
    <mergeCell ref="R3:T3"/>
    <mergeCell ref="C30:C35"/>
    <mergeCell ref="D30:D35"/>
    <mergeCell ref="U2:U3"/>
    <mergeCell ref="U30:U34"/>
    <mergeCell ref="U36:U37"/>
    <mergeCell ref="U38:U39"/>
    <mergeCell ref="C38:C39"/>
    <mergeCell ref="C40:C43"/>
    <mergeCell ref="E30:E34"/>
    <mergeCell ref="F30:F34"/>
    <mergeCell ref="N52:N53"/>
    <mergeCell ref="B2:B5"/>
    <mergeCell ref="O40:O43"/>
    <mergeCell ref="G3:G4"/>
    <mergeCell ref="D36:D37"/>
    <mergeCell ref="L40:L43"/>
    <mergeCell ref="N40:N43"/>
    <mergeCell ref="G40:G43"/>
    <mergeCell ref="M40:M43"/>
    <mergeCell ref="G52:G53"/>
    <mergeCell ref="P30:P34"/>
    <mergeCell ref="K52:K53"/>
    <mergeCell ref="S30:S34"/>
    <mergeCell ref="S36:S37"/>
    <mergeCell ref="T30:T34"/>
    <mergeCell ref="O30:O34"/>
    <mergeCell ref="N36:N37"/>
    <mergeCell ref="C52:C53"/>
    <mergeCell ref="R30:R34"/>
    <mergeCell ref="C3:F3"/>
    <mergeCell ref="A1:T1"/>
    <mergeCell ref="A60:T60"/>
    <mergeCell ref="A61:T61"/>
    <mergeCell ref="A30:A34"/>
    <mergeCell ref="O36:O37"/>
    <mergeCell ref="Q30:Q34"/>
    <mergeCell ref="M30:M34"/>
    <mergeCell ref="N30:N34"/>
    <mergeCell ref="J30:J34"/>
    <mergeCell ref="K30:K34"/>
    <mergeCell ref="J38:J39"/>
    <mergeCell ref="K38:K39"/>
    <mergeCell ref="L38:L39"/>
    <mergeCell ref="T38:T39"/>
    <mergeCell ref="J40:J43"/>
    <mergeCell ref="T40:T43"/>
    <mergeCell ref="T52:T53"/>
    <mergeCell ref="E40:E43"/>
    <mergeCell ref="M52:M53"/>
    <mergeCell ref="G38:G39"/>
    <mergeCell ref="F40:F43"/>
    <mergeCell ref="A2:A5"/>
    <mergeCell ref="L2:L4"/>
    <mergeCell ref="M2:M4"/>
    <mergeCell ref="M36:M37"/>
    <mergeCell ref="J36:J37"/>
    <mergeCell ref="L30:L34"/>
    <mergeCell ref="I30:I34"/>
    <mergeCell ref="G30:G34"/>
    <mergeCell ref="A12:A13"/>
    <mergeCell ref="A18:A19"/>
    <mergeCell ref="K36:K37"/>
    <mergeCell ref="L36:L37"/>
    <mergeCell ref="E36:E37"/>
    <mergeCell ref="F36:F37"/>
    <mergeCell ref="G36:G37"/>
    <mergeCell ref="J2:K3"/>
    <mergeCell ref="I3:I4"/>
    <mergeCell ref="C2:I2"/>
    <mergeCell ref="D52:D53"/>
    <mergeCell ref="C36:C37"/>
    <mergeCell ref="O52:O53"/>
    <mergeCell ref="I36:I37"/>
    <mergeCell ref="I40:I43"/>
    <mergeCell ref="P52:P53"/>
    <mergeCell ref="N2:N4"/>
    <mergeCell ref="L52:L53"/>
    <mergeCell ref="A65:T65"/>
    <mergeCell ref="A64:T64"/>
    <mergeCell ref="A40:A43"/>
    <mergeCell ref="M38:M39"/>
    <mergeCell ref="E38:E39"/>
    <mergeCell ref="A63:T63"/>
    <mergeCell ref="N38:N39"/>
    <mergeCell ref="O38:O39"/>
    <mergeCell ref="P38:P39"/>
    <mergeCell ref="A58:B58"/>
    <mergeCell ref="A52:A53"/>
    <mergeCell ref="E52:E53"/>
    <mergeCell ref="R52:R53"/>
    <mergeCell ref="F52:F53"/>
    <mergeCell ref="A62:T62"/>
    <mergeCell ref="F38:F39"/>
    <mergeCell ref="D38:D39"/>
    <mergeCell ref="T36:T37"/>
    <mergeCell ref="P36:P37"/>
    <mergeCell ref="Q40:Q43"/>
    <mergeCell ref="Q38:Q39"/>
    <mergeCell ref="Q36:Q37"/>
    <mergeCell ref="R36:R37"/>
    <mergeCell ref="R38:R39"/>
    <mergeCell ref="R40:R43"/>
    <mergeCell ref="D40:D43"/>
    <mergeCell ref="K40:K43"/>
    <mergeCell ref="H3:H4"/>
    <mergeCell ref="H30:H34"/>
    <mergeCell ref="H36:H37"/>
    <mergeCell ref="H38:H39"/>
    <mergeCell ref="H40:H43"/>
    <mergeCell ref="S38:S39"/>
    <mergeCell ref="S40:S43"/>
    <mergeCell ref="P40:P43"/>
    <mergeCell ref="S52:S53"/>
    <mergeCell ref="Q52:Q53"/>
    <mergeCell ref="H52:H53"/>
    <mergeCell ref="J52:J53"/>
    <mergeCell ref="I52:I53"/>
  </mergeCells>
  <printOptions horizontalCentered="1"/>
  <pageMargins left="0.23622047244094491" right="0.23622047244094491" top="0.74803149606299213" bottom="0.74803149606299213" header="0.31496062992125984" footer="0.31496062992125984"/>
  <pageSetup paperSize="9" scale="52" fitToHeight="0" orientation="landscape" r:id="rId1"/>
  <rowBreaks count="1" manualBreakCount="1">
    <brk id="35" max="2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A3A89-2E8E-418F-B0F6-EB823F8915AD}">
  <sheetPr>
    <pageSetUpPr fitToPage="1"/>
  </sheetPr>
  <dimension ref="A1:T27"/>
  <sheetViews>
    <sheetView zoomScale="90" zoomScaleNormal="90" zoomScaleSheetLayoutView="110" workbookViewId="0">
      <selection activeCell="H13" sqref="H13"/>
    </sheetView>
  </sheetViews>
  <sheetFormatPr defaultColWidth="32" defaultRowHeight="11.25" x14ac:dyDescent="0.2"/>
  <cols>
    <col min="1" max="1" width="13" style="5" customWidth="1"/>
    <col min="2" max="2" width="19" style="659" customWidth="1"/>
    <col min="3" max="3" width="15.28515625" style="659" customWidth="1"/>
    <col min="4" max="4" width="15.140625" style="659" customWidth="1"/>
    <col min="5" max="5" width="11.42578125" style="5" customWidth="1"/>
    <col min="6" max="6" width="9.7109375" style="5" customWidth="1"/>
    <col min="7" max="7" width="20.28515625" style="5" customWidth="1"/>
    <col min="8" max="8" width="10.7109375" style="5" customWidth="1"/>
    <col min="9" max="9" width="17.42578125" style="5" customWidth="1"/>
    <col min="10" max="10" width="13.5703125" style="5" customWidth="1"/>
    <col min="11" max="12" width="18.42578125" style="5" customWidth="1"/>
    <col min="13" max="13" width="11" style="5" customWidth="1"/>
    <col min="14" max="14" width="13.42578125" style="5" customWidth="1"/>
    <col min="15" max="16" width="13.5703125" style="5" customWidth="1"/>
    <col min="17" max="17" width="14.42578125" style="5" customWidth="1"/>
    <col min="18" max="18" width="14.140625" style="660" customWidth="1"/>
    <col min="19" max="19" width="17" style="5" customWidth="1"/>
    <col min="20" max="20" width="13.42578125" style="5" customWidth="1"/>
    <col min="21" max="16384" width="32" style="5"/>
  </cols>
  <sheetData>
    <row r="1" spans="1:20" ht="15.75" customHeight="1" x14ac:dyDescent="0.25">
      <c r="A1" s="1021" t="s">
        <v>798</v>
      </c>
      <c r="B1" s="1021"/>
      <c r="C1" s="1021"/>
      <c r="D1" s="1021"/>
      <c r="E1" s="1021"/>
      <c r="F1" s="1021"/>
      <c r="G1" s="1021"/>
      <c r="H1" s="1021"/>
      <c r="I1" s="1021"/>
      <c r="J1" s="1021"/>
      <c r="K1" s="1021"/>
      <c r="L1" s="1021"/>
      <c r="M1" s="1021"/>
      <c r="N1" s="1021"/>
      <c r="O1" s="1021"/>
      <c r="P1" s="1021"/>
      <c r="Q1" s="1021"/>
      <c r="R1" s="1021"/>
    </row>
    <row r="2" spans="1:20" ht="21" customHeight="1" x14ac:dyDescent="0.2">
      <c r="A2" s="1013" t="s">
        <v>773</v>
      </c>
      <c r="B2" s="1039" t="s">
        <v>799</v>
      </c>
      <c r="C2" s="1039"/>
      <c r="D2" s="1016" t="s">
        <v>783</v>
      </c>
      <c r="E2" s="1016" t="s">
        <v>776</v>
      </c>
      <c r="F2" s="1040" t="s">
        <v>777</v>
      </c>
      <c r="G2" s="1041"/>
      <c r="H2" s="1044" t="s">
        <v>669</v>
      </c>
      <c r="I2" s="1040"/>
      <c r="J2" s="1040"/>
      <c r="K2" s="1040"/>
      <c r="L2" s="1040"/>
      <c r="M2" s="1040"/>
      <c r="N2" s="1041"/>
      <c r="O2" s="1013" t="s">
        <v>778</v>
      </c>
      <c r="P2" s="1013"/>
      <c r="Q2" s="1013"/>
      <c r="R2" s="1013"/>
      <c r="S2" s="1013"/>
      <c r="T2" s="1013" t="s">
        <v>800</v>
      </c>
    </row>
    <row r="3" spans="1:20" ht="15.75" customHeight="1" x14ac:dyDescent="0.2">
      <c r="A3" s="1013"/>
      <c r="B3" s="1039"/>
      <c r="C3" s="1039"/>
      <c r="D3" s="1022"/>
      <c r="E3" s="1022"/>
      <c r="F3" s="1042"/>
      <c r="G3" s="1043"/>
      <c r="H3" s="1045"/>
      <c r="I3" s="1042"/>
      <c r="J3" s="1042"/>
      <c r="K3" s="1042"/>
      <c r="L3" s="1042"/>
      <c r="M3" s="1042"/>
      <c r="N3" s="1043"/>
      <c r="O3" s="1013"/>
      <c r="P3" s="1013"/>
      <c r="Q3" s="1013"/>
      <c r="R3" s="1013"/>
      <c r="S3" s="1013"/>
      <c r="T3" s="1013"/>
    </row>
    <row r="4" spans="1:20" s="639" customFormat="1" ht="18.75" customHeight="1" x14ac:dyDescent="0.25">
      <c r="A4" s="1013"/>
      <c r="B4" s="1039" t="s">
        <v>907</v>
      </c>
      <c r="C4" s="1039" t="s">
        <v>801</v>
      </c>
      <c r="D4" s="1022"/>
      <c r="E4" s="1022"/>
      <c r="F4" s="1016" t="s">
        <v>782</v>
      </c>
      <c r="G4" s="1016" t="s">
        <v>802</v>
      </c>
      <c r="H4" s="1016" t="s">
        <v>803</v>
      </c>
      <c r="I4" s="1016" t="s">
        <v>804</v>
      </c>
      <c r="J4" s="1016" t="s">
        <v>805</v>
      </c>
      <c r="K4" s="1016" t="s">
        <v>806</v>
      </c>
      <c r="L4" s="1016" t="s">
        <v>807</v>
      </c>
      <c r="M4" s="1016" t="s">
        <v>808</v>
      </c>
      <c r="N4" s="1016" t="s">
        <v>809</v>
      </c>
      <c r="O4" s="1013" t="s">
        <v>810</v>
      </c>
      <c r="P4" s="1013"/>
      <c r="Q4" s="1013"/>
      <c r="R4" s="1013"/>
      <c r="S4" s="1013" t="s">
        <v>811</v>
      </c>
      <c r="T4" s="1013"/>
    </row>
    <row r="5" spans="1:20" s="639" customFormat="1" ht="39" customHeight="1" x14ac:dyDescent="0.25">
      <c r="A5" s="1013"/>
      <c r="B5" s="1039"/>
      <c r="C5" s="1039"/>
      <c r="D5" s="1017"/>
      <c r="E5" s="1017"/>
      <c r="F5" s="1017"/>
      <c r="G5" s="1017"/>
      <c r="H5" s="1017"/>
      <c r="I5" s="1017"/>
      <c r="J5" s="1017"/>
      <c r="K5" s="1017"/>
      <c r="L5" s="1017"/>
      <c r="M5" s="1017"/>
      <c r="N5" s="1017"/>
      <c r="O5" s="638" t="s">
        <v>1</v>
      </c>
      <c r="P5" s="638" t="s">
        <v>812</v>
      </c>
      <c r="Q5" s="638" t="s">
        <v>2</v>
      </c>
      <c r="R5" s="640" t="s">
        <v>787</v>
      </c>
      <c r="S5" s="1013"/>
      <c r="T5" s="1013"/>
    </row>
    <row r="6" spans="1:20" s="639" customFormat="1" x14ac:dyDescent="0.25">
      <c r="A6" s="641" t="s">
        <v>305</v>
      </c>
      <c r="B6" s="642" t="s">
        <v>306</v>
      </c>
      <c r="C6" s="662" t="s">
        <v>307</v>
      </c>
      <c r="D6" s="641" t="s">
        <v>308</v>
      </c>
      <c r="E6" s="643" t="s">
        <v>309</v>
      </c>
      <c r="F6" s="641" t="s">
        <v>515</v>
      </c>
      <c r="G6" s="643" t="s">
        <v>637</v>
      </c>
      <c r="H6" s="641" t="s">
        <v>310</v>
      </c>
      <c r="I6" s="643" t="s">
        <v>788</v>
      </c>
      <c r="J6" s="643" t="s">
        <v>516</v>
      </c>
      <c r="K6" s="641" t="s">
        <v>705</v>
      </c>
      <c r="L6" s="643" t="s">
        <v>696</v>
      </c>
      <c r="M6" s="643" t="s">
        <v>789</v>
      </c>
      <c r="N6" s="643" t="s">
        <v>706</v>
      </c>
      <c r="O6" s="642" t="s">
        <v>791</v>
      </c>
      <c r="P6" s="643" t="s">
        <v>792</v>
      </c>
      <c r="Q6" s="643" t="s">
        <v>813</v>
      </c>
      <c r="R6" s="643" t="s">
        <v>814</v>
      </c>
      <c r="S6" s="643" t="s">
        <v>815</v>
      </c>
      <c r="T6" s="643" t="s">
        <v>816</v>
      </c>
    </row>
    <row r="7" spans="1:20" ht="22.5" customHeight="1" x14ac:dyDescent="0.2">
      <c r="A7" s="992" t="s">
        <v>40</v>
      </c>
      <c r="B7" s="1035">
        <v>238163377.69999999</v>
      </c>
      <c r="C7" s="1035">
        <v>129030984.09</v>
      </c>
      <c r="D7" s="1035">
        <f>+G18+K18</f>
        <v>240319635.04827595</v>
      </c>
      <c r="E7" s="644" t="s">
        <v>794</v>
      </c>
      <c r="F7" s="663">
        <v>1296</v>
      </c>
      <c r="G7" s="656">
        <v>6281351.0625054855</v>
      </c>
      <c r="H7" s="1038"/>
      <c r="I7" s="1038"/>
      <c r="J7" s="1038"/>
      <c r="K7" s="1038"/>
      <c r="L7" s="1038"/>
      <c r="M7" s="1038"/>
      <c r="N7" s="1038"/>
      <c r="O7" s="1027">
        <f>+'Dett. 10.1 FEASR+EURI+TOP UP'!K18+'Dett. 10.1 FEASR+EURI+TOP UP'!K31+'Dett. 10.1 FEASR+EURI+TOP UP'!K37+'Dett. 10.1 FEASR+EURI+TOP UP'!K51+'Dett. 10.1 FEASR+EURI+TOP UP'!K41</f>
        <v>237526212.1616663</v>
      </c>
      <c r="P7" s="664"/>
      <c r="Q7" s="1027">
        <f>+'Dett. 10.1 FEASR+EURI+TOP UP'!N18+'Dett. 10.1 FEASR+EURI+TOP UP'!N31+'Dett. 10.1 FEASR+EURI+TOP UP'!N37+'Dett. 10.1 FEASR+EURI+TOP UP'!N51</f>
        <v>83933796.450000003</v>
      </c>
      <c r="R7" s="1029">
        <f>+Q7/O7</f>
        <v>0.35336645874213057</v>
      </c>
      <c r="S7" s="1027">
        <v>128451261.9684</v>
      </c>
      <c r="T7" s="1027">
        <f>+C7-S7</f>
        <v>579722.12160000205</v>
      </c>
    </row>
    <row r="8" spans="1:20" ht="15" customHeight="1" x14ac:dyDescent="0.2">
      <c r="A8" s="993"/>
      <c r="B8" s="1036"/>
      <c r="C8" s="1036"/>
      <c r="D8" s="1036"/>
      <c r="E8" s="644">
        <v>2015</v>
      </c>
      <c r="F8" s="665">
        <v>5281</v>
      </c>
      <c r="G8" s="656">
        <v>25582997.255702756</v>
      </c>
      <c r="H8" s="1038"/>
      <c r="I8" s="1038"/>
      <c r="J8" s="1038"/>
      <c r="K8" s="1038"/>
      <c r="L8" s="1038"/>
      <c r="M8" s="1038"/>
      <c r="N8" s="1038"/>
      <c r="O8" s="1028"/>
      <c r="P8" s="666"/>
      <c r="Q8" s="1028"/>
      <c r="R8" s="1030"/>
      <c r="S8" s="1028"/>
      <c r="T8" s="1028"/>
    </row>
    <row r="9" spans="1:20" ht="15" customHeight="1" x14ac:dyDescent="0.2">
      <c r="A9" s="993"/>
      <c r="B9" s="1036"/>
      <c r="C9" s="1036"/>
      <c r="D9" s="1036"/>
      <c r="E9" s="644">
        <v>2016</v>
      </c>
      <c r="F9" s="665">
        <v>4554</v>
      </c>
      <c r="G9" s="656">
        <v>21400411.514340911</v>
      </c>
      <c r="H9" s="667">
        <f>+'Dett. 10.1 FEASR+EURI+TOP UP'!D8+'Dett. 10.1 FEASR+EURI+TOP UP'!D21</f>
        <v>4374</v>
      </c>
      <c r="I9" s="361">
        <f>+'Dett. 10.1 FEASR+EURI+TOP UP'!E8+'Dett. 10.1 FEASR+EURI+TOP UP'!E21</f>
        <v>22566721.626300044</v>
      </c>
      <c r="J9" s="361">
        <f>+'Dett. 10.1 FEASR+EURI+TOP UP'!F8+'Dett. 10.1 FEASR+EURI+TOP UP'!F21</f>
        <v>18931099.320000052</v>
      </c>
      <c r="K9" s="361">
        <f>+'Dett. 10.1 FEASR+EURI+TOP UP'!G8+'Dett. 10.1 FEASR+EURI+TOP UP'!G21</f>
        <v>19323948.610000063</v>
      </c>
      <c r="L9" s="361">
        <f>+'Dett. 10.1 FEASR+EURI+TOP UP'!H8+'Dett. 10.1 FEASR+EURI+TOP UP'!H21</f>
        <v>19323948.610000063</v>
      </c>
      <c r="M9" s="667">
        <f>+'Dett. 10.1 FEASR+EURI+TOP UP'!I8+'Dett. 10.1 FEASR+EURI+TOP UP'!I21</f>
        <v>3826</v>
      </c>
      <c r="N9" s="667">
        <f>+'Dett. 10.1 FEASR+EURI+TOP UP'!J8+'Dett. 10.1 FEASR+EURI+TOP UP'!J21</f>
        <v>42</v>
      </c>
      <c r="O9" s="1028"/>
      <c r="P9" s="666"/>
      <c r="Q9" s="1028"/>
      <c r="R9" s="1030"/>
      <c r="S9" s="1028"/>
      <c r="T9" s="1028"/>
    </row>
    <row r="10" spans="1:20" ht="15" customHeight="1" x14ac:dyDescent="0.2">
      <c r="A10" s="993"/>
      <c r="B10" s="1036"/>
      <c r="C10" s="1036"/>
      <c r="D10" s="1036"/>
      <c r="E10" s="644">
        <v>2017</v>
      </c>
      <c r="F10" s="665">
        <v>3559</v>
      </c>
      <c r="G10" s="656">
        <v>14425552.867408065</v>
      </c>
      <c r="H10" s="667">
        <f>+'Dett. 10.1 FEASR+EURI+TOP UP'!D9+'Dett. 10.1 FEASR+EURI+TOP UP'!D22</f>
        <v>4017</v>
      </c>
      <c r="I10" s="361">
        <f>+'Dett. 10.1 FEASR+EURI+TOP UP'!E9+'Dett. 10.1 FEASR+EURI+TOP UP'!E22</f>
        <v>21595979.024500031</v>
      </c>
      <c r="J10" s="361">
        <f>+'Dett. 10.1 FEASR+EURI+TOP UP'!F9+'Dett. 10.1 FEASR+EURI+TOP UP'!F22</f>
        <v>16000741.760000013</v>
      </c>
      <c r="K10" s="361">
        <f>+'Dett. 10.1 FEASR+EURI+TOP UP'!G9+'Dett. 10.1 FEASR+EURI+TOP UP'!G22</f>
        <v>15967760.230000012</v>
      </c>
      <c r="L10" s="361">
        <f>+'Dett. 10.1 FEASR+EURI+TOP UP'!H9+'Dett. 10.1 FEASR+EURI+TOP UP'!H22</f>
        <v>15967760.230000012</v>
      </c>
      <c r="M10" s="667">
        <f>+'Dett. 10.1 FEASR+EURI+TOP UP'!I9+'Dett. 10.1 FEASR+EURI+TOP UP'!I22</f>
        <v>3613</v>
      </c>
      <c r="N10" s="667">
        <f>+'Dett. 10.1 FEASR+EURI+TOP UP'!J9+'Dett. 10.1 FEASR+EURI+TOP UP'!J22</f>
        <v>110</v>
      </c>
      <c r="O10" s="1028"/>
      <c r="P10" s="666"/>
      <c r="Q10" s="1028"/>
      <c r="R10" s="1030"/>
      <c r="S10" s="1028"/>
      <c r="T10" s="1028"/>
    </row>
    <row r="11" spans="1:20" ht="14.25" customHeight="1" x14ac:dyDescent="0.2">
      <c r="A11" s="993"/>
      <c r="B11" s="1036"/>
      <c r="C11" s="1036"/>
      <c r="D11" s="1036"/>
      <c r="E11" s="644">
        <v>2018</v>
      </c>
      <c r="F11" s="651">
        <v>2824</v>
      </c>
      <c r="G11" s="646">
        <v>10885625.130942296</v>
      </c>
      <c r="H11" s="667">
        <f>+'Dett. 10.1 FEASR+EURI+TOP UP'!D10+'Dett. 10.1 FEASR+EURI+TOP UP'!D23</f>
        <v>3912</v>
      </c>
      <c r="I11" s="361">
        <f>+'Dett. 10.1 FEASR+EURI+TOP UP'!E10+'Dett. 10.1 FEASR+EURI+TOP UP'!E23</f>
        <v>21650866.789700013</v>
      </c>
      <c r="J11" s="361">
        <f>+'Dett. 10.1 FEASR+EURI+TOP UP'!F10+'Dett. 10.1 FEASR+EURI+TOP UP'!F23</f>
        <v>16010379.480000027</v>
      </c>
      <c r="K11" s="361">
        <f>+'Dett. 10.1 FEASR+EURI+TOP UP'!G10+'Dett. 10.1 FEASR+EURI+TOP UP'!G23</f>
        <v>15620628.350000028</v>
      </c>
      <c r="L11" s="361">
        <f>+'Dett. 10.1 FEASR+EURI+TOP UP'!H10+'Dett. 10.1 FEASR+EURI+TOP UP'!H23</f>
        <v>15620628.350000028</v>
      </c>
      <c r="M11" s="667">
        <f>+'Dett. 10.1 FEASR+EURI+TOP UP'!I10+'Dett. 10.1 FEASR+EURI+TOP UP'!I23</f>
        <v>3518</v>
      </c>
      <c r="N11" s="667">
        <f>+'Dett. 10.1 FEASR+EURI+TOP UP'!J10+'Dett. 10.1 FEASR+EURI+TOP UP'!J23</f>
        <v>143</v>
      </c>
      <c r="O11" s="1028"/>
      <c r="P11" s="666"/>
      <c r="Q11" s="1028"/>
      <c r="R11" s="1030"/>
      <c r="S11" s="1028"/>
      <c r="T11" s="1028"/>
    </row>
    <row r="12" spans="1:20" ht="15" customHeight="1" x14ac:dyDescent="0.2">
      <c r="A12" s="993"/>
      <c r="B12" s="1036"/>
      <c r="C12" s="1036"/>
      <c r="D12" s="1036"/>
      <c r="E12" s="644">
        <v>2019</v>
      </c>
      <c r="F12" s="651">
        <v>1359</v>
      </c>
      <c r="G12" s="646">
        <v>5344594.9413760798</v>
      </c>
      <c r="H12" s="667">
        <f>+'Dett. 10.1 FEASR+EURI+TOP UP'!D11+'Dett. 10.1 FEASR+EURI+TOP UP'!D24</f>
        <v>3887</v>
      </c>
      <c r="I12" s="361">
        <f>+'Dett. 10.1 FEASR+EURI+TOP UP'!E11+'Dett. 10.1 FEASR+EURI+TOP UP'!E24</f>
        <v>21674655.219700009</v>
      </c>
      <c r="J12" s="361">
        <f>+'Dett. 10.1 FEASR+EURI+TOP UP'!F11+'Dett. 10.1 FEASR+EURI+TOP UP'!F24</f>
        <v>16484428.800000057</v>
      </c>
      <c r="K12" s="361">
        <f>+'Dett. 10.1 FEASR+EURI+TOP UP'!G11+'Dett. 10.1 FEASR+EURI+TOP UP'!G24</f>
        <v>16133179.480000064</v>
      </c>
      <c r="L12" s="361">
        <f>+'Dett. 10.1 FEASR+EURI+TOP UP'!H11+'Dett. 10.1 FEASR+EURI+TOP UP'!H24</f>
        <v>16133179.480000064</v>
      </c>
      <c r="M12" s="667">
        <f>+'Dett. 10.1 FEASR+EURI+TOP UP'!I11+'Dett. 10.1 FEASR+EURI+TOP UP'!I24</f>
        <v>3586</v>
      </c>
      <c r="N12" s="667">
        <f>+'Dett. 10.1 FEASR+EURI+TOP UP'!J11+'Dett. 10.1 FEASR+EURI+TOP UP'!J24</f>
        <v>112</v>
      </c>
      <c r="O12" s="1028"/>
      <c r="P12" s="666"/>
      <c r="Q12" s="1028"/>
      <c r="R12" s="1030"/>
      <c r="S12" s="1028"/>
      <c r="T12" s="1028"/>
    </row>
    <row r="13" spans="1:20" ht="15" customHeight="1" x14ac:dyDescent="0.2">
      <c r="A13" s="993"/>
      <c r="B13" s="1036"/>
      <c r="C13" s="1036"/>
      <c r="D13" s="1036"/>
      <c r="E13" s="644">
        <v>2020</v>
      </c>
      <c r="F13" s="1004"/>
      <c r="G13" s="1006"/>
      <c r="H13" s="667">
        <f>+'Dett. 10.1 FEASR+EURI+TOP UP'!D12+'Dett. 10.1 FEASR+EURI+TOP UP'!D25+'Dett. 10.1 FEASR+EURI+TOP UP'!D48</f>
        <v>6030</v>
      </c>
      <c r="I13" s="361">
        <f>+'Dett. 10.1 FEASR+EURI+TOP UP'!E12+'Dett. 10.1 FEASR+EURI+TOP UP'!E25+'Dett. 10.1 FEASR+EURI+TOP UP'!E48</f>
        <v>26919855.434200019</v>
      </c>
      <c r="J13" s="361">
        <f>+'Dett. 10.1 FEASR+EURI+TOP UP'!F12+'Dett. 10.1 FEASR+EURI+TOP UP'!F25+'Dett. 10.1 FEASR+EURI+TOP UP'!F48</f>
        <v>19256399.040000033</v>
      </c>
      <c r="K13" s="361">
        <f>+'Dett. 10.1 FEASR+EURI+TOP UP'!G12+'Dett. 10.1 FEASR+EURI+TOP UP'!G25+'Dett. 10.1 FEASR+EURI+TOP UP'!G48</f>
        <v>19090917.906000052</v>
      </c>
      <c r="L13" s="361">
        <f>+'Dett. 10.1 FEASR+EURI+TOP UP'!H12+'Dett. 10.1 FEASR+EURI+TOP UP'!H25+'Dett. 10.1 FEASR+EURI+TOP UP'!H48</f>
        <v>19090917.906000052</v>
      </c>
      <c r="M13" s="667">
        <f>+'Dett. 10.1 FEASR+EURI+TOP UP'!I12+'Dett. 10.1 FEASR+EURI+TOP UP'!I25+'Dett. 10.1 FEASR+EURI+TOP UP'!I48</f>
        <v>5174</v>
      </c>
      <c r="N13" s="667">
        <f>+'Dett. 10.1 FEASR+EURI+TOP UP'!J12+'Dett. 10.1 FEASR+EURI+TOP UP'!J25+'Dett. 10.1 FEASR+EURI+TOP UP'!J48</f>
        <v>179</v>
      </c>
      <c r="O13" s="1028"/>
      <c r="P13" s="666"/>
      <c r="Q13" s="1028"/>
      <c r="R13" s="1030"/>
      <c r="S13" s="1028"/>
      <c r="T13" s="1028"/>
    </row>
    <row r="14" spans="1:20" ht="15" customHeight="1" x14ac:dyDescent="0.2">
      <c r="A14" s="993"/>
      <c r="B14" s="1036"/>
      <c r="C14" s="1036"/>
      <c r="D14" s="1036"/>
      <c r="E14" s="644">
        <v>2021</v>
      </c>
      <c r="F14" s="1007"/>
      <c r="G14" s="1009"/>
      <c r="H14" s="667">
        <f>+'Dett. 10.1 FEASR+EURI+TOP UP'!D13+'Dett. 10.1 FEASR+EURI+TOP UP'!D15+'Dett. 10.1 FEASR+EURI+TOP UP'!D27+'Dett. 10.1 FEASR+EURI+TOP UP'!D49</f>
        <v>9867</v>
      </c>
      <c r="I14" s="361">
        <f>+'Dett. 10.1 FEASR+EURI+TOP UP'!E13+'Dett. 10.1 FEASR+EURI+TOP UP'!E15+'Dett. 10.1 FEASR+EURI+TOP UP'!E27+'Dett. 10.1 FEASR+EURI+TOP UP'!E49</f>
        <v>49887991.01000011</v>
      </c>
      <c r="J14" s="361">
        <f>+'Dett. 10.1 FEASR+EURI+TOP UP'!F13+'Dett. 10.1 FEASR+EURI+TOP UP'!F15+'Dett. 10.1 FEASR+EURI+TOP UP'!F27+'Dett. 10.1 FEASR+EURI+TOP UP'!F49</f>
        <v>43460525.33000011</v>
      </c>
      <c r="K14" s="361">
        <f>+'Dett. 10.1 FEASR+EURI+TOP UP'!G13+'Dett. 10.1 FEASR+EURI+TOP UP'!G15+'Dett. 10.1 FEASR+EURI+TOP UP'!G27+'Dett. 10.1 FEASR+EURI+TOP UP'!G49</f>
        <v>42304414.590000115</v>
      </c>
      <c r="L14" s="361">
        <f>+'Dett. 10.1 FEASR+EURI+TOP UP'!H13+'Dett. 10.1 FEASR+EURI+TOP UP'!H15+'Dett. 10.1 FEASR+EURI+TOP UP'!H27+'Dett. 10.1 FEASR+EURI+TOP UP'!H49</f>
        <v>42304414.590000115</v>
      </c>
      <c r="M14" s="667">
        <f>+'Dett. 10.1 FEASR+EURI+TOP UP'!I13+'Dett. 10.1 FEASR+EURI+TOP UP'!I15+'Dett. 10.1 FEASR+EURI+TOP UP'!I27+'Dett. 10.1 FEASR+EURI+TOP UP'!I49</f>
        <v>8826</v>
      </c>
      <c r="N14" s="667">
        <f>+'Dett. 10.1 FEASR+EURI+TOP UP'!J13+'Dett. 10.1 FEASR+EURI+TOP UP'!J15+'Dett. 10.1 FEASR+EURI+TOP UP'!J27+'Dett. 10.1 FEASR+EURI+TOP UP'!J49</f>
        <v>137</v>
      </c>
      <c r="O14" s="1028"/>
      <c r="P14" s="1032">
        <f>+'Dett. 10.1 FEASR+EURI+TOP UP'!L18</f>
        <v>27483428.789999999</v>
      </c>
      <c r="Q14" s="1028"/>
      <c r="R14" s="1030"/>
      <c r="S14" s="1028"/>
      <c r="T14" s="1028"/>
    </row>
    <row r="15" spans="1:20" ht="15" customHeight="1" x14ac:dyDescent="0.2">
      <c r="A15" s="993"/>
      <c r="B15" s="1036"/>
      <c r="C15" s="1036"/>
      <c r="D15" s="1036"/>
      <c r="E15" s="644">
        <v>2022</v>
      </c>
      <c r="F15" s="1007"/>
      <c r="G15" s="1009"/>
      <c r="H15" s="667">
        <f>+'Dett. 10.1 FEASR+EURI+TOP UP'!D16+'Dett. 10.1 FEASR+EURI+TOP UP'!D28+'Dett. 10.1 FEASR+EURI+TOP UP'!D38+'Dett. 10.1 FEASR+EURI+TOP UP'!D50</f>
        <v>5433</v>
      </c>
      <c r="I15" s="361">
        <f>+'Dett. 10.1 FEASR+EURI+TOP UP'!E16+'Dett. 10.1 FEASR+EURI+TOP UP'!E28+'Dett. 10.1 FEASR+EURI+TOP UP'!E38+'Dett. 10.1 FEASR+EURI+TOP UP'!E50</f>
        <v>29122611.370000005</v>
      </c>
      <c r="J15" s="361">
        <f>+'Dett. 10.1 FEASR+EURI+TOP UP'!F16+'Dett. 10.1 FEASR+EURI+TOP UP'!F28+'Dett. 10.1 FEASR+EURI+TOP UP'!F38+'Dett. 10.1 FEASR+EURI+TOP UP'!F50</f>
        <v>25818162.369999994</v>
      </c>
      <c r="K15" s="361">
        <f>+'Dett. 10.1 FEASR+EURI+TOP UP'!G16+'Dett. 10.1 FEASR+EURI+TOP UP'!G28+'Dett. 10.1 FEASR+EURI+TOP UP'!G38+'Dett. 10.1 FEASR+EURI+TOP UP'!G50</f>
        <v>25673244.499999989</v>
      </c>
      <c r="L15" s="361">
        <f>+'Dett. 10.1 FEASR+EURI+TOP UP'!H16+'Dett. 10.1 FEASR+EURI+TOP UP'!H28+'Dett. 10.1 FEASR+EURI+TOP UP'!H38+'Dett. 10.1 FEASR+EURI+TOP UP'!H50</f>
        <v>25673244.499999989</v>
      </c>
      <c r="M15" s="667">
        <f>+'Dett. 10.1 FEASR+EURI+TOP UP'!I16+'Dett. 10.1 FEASR+EURI+TOP UP'!I28+'Dett. 10.1 FEASR+EURI+TOP UP'!I38+'Dett. 10.1 FEASR+EURI+TOP UP'!I50</f>
        <v>5182</v>
      </c>
      <c r="N15" s="667">
        <f>+'Dett. 10.1 FEASR+EURI+TOP UP'!J16+'Dett. 10.1 FEASR+EURI+TOP UP'!J28+'Dett. 10.1 FEASR+EURI+TOP UP'!J38+'Dett. 10.1 FEASR+EURI+TOP UP'!J50</f>
        <v>95</v>
      </c>
      <c r="O15" s="1028"/>
      <c r="P15" s="1032"/>
      <c r="Q15" s="1028"/>
      <c r="R15" s="1030"/>
      <c r="S15" s="1028"/>
      <c r="T15" s="1028"/>
    </row>
    <row r="16" spans="1:20" ht="15" customHeight="1" x14ac:dyDescent="0.2">
      <c r="A16" s="993"/>
      <c r="B16" s="1036"/>
      <c r="C16" s="1036"/>
      <c r="D16" s="1036"/>
      <c r="E16" s="644">
        <v>2023</v>
      </c>
      <c r="F16" s="1007"/>
      <c r="G16" s="1009"/>
      <c r="H16" s="667">
        <f>+'Dett. 10.1 FEASR+EURI+TOP UP'!D29+'Dett. 10.1 FEASR+EURI+TOP UP'!D39</f>
        <v>290</v>
      </c>
      <c r="I16" s="361">
        <f>+'Dett. 10.1 FEASR+EURI+TOP UP'!E29+'Dett. 10.1 FEASR+EURI+TOP UP'!E39</f>
        <v>2969729.0600000019</v>
      </c>
      <c r="J16" s="361">
        <f>+'Dett. 10.1 FEASR+EURI+TOP UP'!F29+'Dett. 10.1 FEASR+EURI+TOP UP'!F39</f>
        <v>2339193.3000000007</v>
      </c>
      <c r="K16" s="361">
        <f>+'Dett. 10.1 FEASR+EURI+TOP UP'!G29+'Dett. 10.1 FEASR+EURI+TOP UP'!G39</f>
        <v>2266180.58</v>
      </c>
      <c r="L16" s="361">
        <f>+'Dett. 10.1 FEASR+EURI+TOP UP'!H29+'Dett. 10.1 FEASR+EURI+TOP UP'!H39</f>
        <v>2253323.4200000004</v>
      </c>
      <c r="M16" s="667">
        <f>+'Dett. 10.1 FEASR+EURI+TOP UP'!I29+'Dett. 10.1 FEASR+EURI+TOP UP'!I39</f>
        <v>264</v>
      </c>
      <c r="N16" s="667">
        <f>+'Dett. 10.1 FEASR+EURI+TOP UP'!J29+'Dett. 10.1 FEASR+EURI+TOP UP'!J39</f>
        <v>21</v>
      </c>
      <c r="O16" s="1028"/>
      <c r="P16" s="666"/>
      <c r="Q16" s="1028"/>
      <c r="R16" s="1030"/>
      <c r="S16" s="1028"/>
      <c r="T16" s="1028"/>
    </row>
    <row r="17" spans="1:20" ht="15" customHeight="1" x14ac:dyDescent="0.2">
      <c r="A17" s="994"/>
      <c r="B17" s="1037"/>
      <c r="C17" s="1037"/>
      <c r="D17" s="1037"/>
      <c r="E17" s="668">
        <v>2024</v>
      </c>
      <c r="F17" s="649"/>
      <c r="G17" s="650"/>
      <c r="H17" s="667">
        <f>+'Dett. 10.1 FEASR+EURI+TOP UP'!D40</f>
        <v>8</v>
      </c>
      <c r="I17" s="361">
        <f>+'Dett. 10.1 FEASR+EURI+TOP UP'!E40</f>
        <v>29795.88</v>
      </c>
      <c r="J17" s="669">
        <f>+'Dett. 10.1 FEASR+EURI+TOP UP'!F40</f>
        <v>4586.3500000000004</v>
      </c>
      <c r="K17" s="361">
        <f>+'Dett. 10.1 FEASR+EURI+TOP UP'!G40</f>
        <v>18828.03</v>
      </c>
      <c r="L17" s="361">
        <f>+'Dett. 10.1 FEASR+EURI+TOP UP'!H40</f>
        <v>4586.3500000000004</v>
      </c>
      <c r="M17" s="667">
        <f>+'Dett. 10.1 FEASR+EURI+TOP UP'!I40</f>
        <v>2</v>
      </c>
      <c r="N17" s="667">
        <f>+'Dett. 10.1 FEASR+EURI+TOP UP'!J40</f>
        <v>5</v>
      </c>
      <c r="O17" s="1028"/>
      <c r="P17" s="666"/>
      <c r="Q17" s="1028"/>
      <c r="R17" s="1031"/>
      <c r="S17" s="1028"/>
      <c r="T17" s="1028"/>
    </row>
    <row r="18" spans="1:20" ht="15" customHeight="1" x14ac:dyDescent="0.2">
      <c r="A18" s="670" t="s">
        <v>817</v>
      </c>
      <c r="B18" s="671">
        <f>+B7</f>
        <v>238163377.69999999</v>
      </c>
      <c r="C18" s="671">
        <f>+C7</f>
        <v>129030984.09</v>
      </c>
      <c r="D18" s="671">
        <f>+D7</f>
        <v>240319635.04827595</v>
      </c>
      <c r="E18" s="672"/>
      <c r="F18" s="655">
        <f>+F7+F8+F9+F10+F11+F12</f>
        <v>18873</v>
      </c>
      <c r="G18" s="671">
        <f>+G7+G8+G9+G10+G11+G12</f>
        <v>83920532.772275597</v>
      </c>
      <c r="H18" s="655">
        <f>SUM(H9:H17)</f>
        <v>37818</v>
      </c>
      <c r="I18" s="673">
        <f t="shared" ref="I18:N18" si="0">SUM(I9:I17)</f>
        <v>196418205.41440022</v>
      </c>
      <c r="J18" s="673">
        <f t="shared" si="0"/>
        <v>158305515.7500003</v>
      </c>
      <c r="K18" s="673">
        <f t="shared" si="0"/>
        <v>156399102.27600035</v>
      </c>
      <c r="L18" s="673">
        <f t="shared" si="0"/>
        <v>156372003.43600032</v>
      </c>
      <c r="M18" s="655">
        <f t="shared" si="0"/>
        <v>33991</v>
      </c>
      <c r="N18" s="655">
        <f t="shared" si="0"/>
        <v>844</v>
      </c>
      <c r="O18" s="674">
        <f>+O7</f>
        <v>237526212.1616663</v>
      </c>
      <c r="P18" s="675">
        <f>+P14+P15</f>
        <v>27483428.789999999</v>
      </c>
      <c r="Q18" s="674">
        <f>+Q7</f>
        <v>83933796.450000003</v>
      </c>
      <c r="R18" s="647">
        <f>+Q18/O18</f>
        <v>0.35336645874213057</v>
      </c>
      <c r="S18" s="674">
        <f>SUM(S7)</f>
        <v>128451261.9684</v>
      </c>
      <c r="T18" s="674">
        <f>SUM(T7)</f>
        <v>579722.12160000205</v>
      </c>
    </row>
    <row r="19" spans="1:20" s="676" customFormat="1" ht="97.5" customHeight="1" x14ac:dyDescent="0.25">
      <c r="A19" s="1033" t="s">
        <v>818</v>
      </c>
      <c r="B19" s="1033"/>
      <c r="C19" s="1033"/>
      <c r="D19" s="1033"/>
      <c r="E19" s="1033"/>
      <c r="F19" s="1033"/>
      <c r="G19" s="1033"/>
      <c r="H19" s="1033"/>
      <c r="I19" s="1033"/>
      <c r="J19" s="1033"/>
      <c r="K19" s="1033"/>
      <c r="L19" s="1033"/>
      <c r="M19" s="1033"/>
      <c r="N19" s="1033"/>
      <c r="O19" s="1033"/>
      <c r="P19" s="1033"/>
      <c r="Q19" s="1033"/>
      <c r="R19" s="1033"/>
      <c r="S19" s="1033"/>
    </row>
    <row r="20" spans="1:20" ht="23.25" customHeight="1" x14ac:dyDescent="0.2">
      <c r="A20" s="1034"/>
      <c r="B20" s="1034"/>
      <c r="C20" s="1034"/>
      <c r="D20" s="1034"/>
      <c r="E20" s="1034"/>
      <c r="F20" s="1034"/>
      <c r="G20" s="1034"/>
      <c r="H20" s="1034"/>
      <c r="I20" s="1034"/>
      <c r="J20" s="1034"/>
      <c r="K20" s="1034"/>
      <c r="L20" s="1034"/>
      <c r="M20" s="1034"/>
      <c r="N20" s="1034"/>
      <c r="O20" s="1034"/>
      <c r="P20" s="1034"/>
      <c r="Q20" s="1034"/>
      <c r="R20" s="1034"/>
      <c r="S20" s="677"/>
    </row>
    <row r="21" spans="1:20" ht="28.5" customHeight="1" x14ac:dyDescent="0.2">
      <c r="A21" s="988" t="s">
        <v>819</v>
      </c>
      <c r="B21" s="988"/>
      <c r="C21" s="988"/>
      <c r="D21" s="988"/>
      <c r="E21" s="988"/>
      <c r="F21" s="988"/>
      <c r="G21" s="988"/>
      <c r="H21" s="988"/>
      <c r="I21" s="988"/>
      <c r="J21" s="988"/>
      <c r="K21" s="988"/>
      <c r="L21" s="988"/>
      <c r="M21" s="988"/>
      <c r="N21" s="988"/>
      <c r="O21" s="988"/>
      <c r="P21" s="988"/>
      <c r="Q21" s="988"/>
      <c r="R21" s="988"/>
      <c r="S21" s="988"/>
      <c r="T21" s="988"/>
    </row>
    <row r="22" spans="1:20" x14ac:dyDescent="0.2">
      <c r="H22" s="389"/>
      <c r="I22" s="389"/>
      <c r="J22" s="389"/>
      <c r="K22" s="389"/>
      <c r="L22" s="389"/>
      <c r="M22" s="389"/>
      <c r="N22" s="389"/>
      <c r="O22" s="389"/>
      <c r="P22" s="389"/>
      <c r="Q22" s="389"/>
      <c r="R22" s="389"/>
    </row>
    <row r="23" spans="1:20" x14ac:dyDescent="0.2">
      <c r="B23" s="659">
        <f>+B18-28004192</f>
        <v>210159185.69999999</v>
      </c>
      <c r="C23" s="659">
        <f>+C7-28004192</f>
        <v>101026792.09</v>
      </c>
      <c r="H23" s="389"/>
      <c r="I23" s="389"/>
      <c r="J23" s="389"/>
      <c r="K23" s="389"/>
      <c r="L23" s="389"/>
      <c r="M23" s="389"/>
      <c r="N23" s="389"/>
    </row>
    <row r="24" spans="1:20" x14ac:dyDescent="0.2">
      <c r="B24" s="659">
        <v>238242300</v>
      </c>
      <c r="C24" s="659">
        <v>112500</v>
      </c>
    </row>
    <row r="25" spans="1:20" x14ac:dyDescent="0.2">
      <c r="B25" s="659">
        <v>28004192</v>
      </c>
      <c r="I25" s="389"/>
      <c r="J25" s="389"/>
      <c r="K25" s="389"/>
      <c r="L25" s="389"/>
      <c r="P25" s="389"/>
      <c r="Q25" s="389"/>
    </row>
    <row r="27" spans="1:20" x14ac:dyDescent="0.2">
      <c r="B27" s="659">
        <f>+B24-B25</f>
        <v>210238108</v>
      </c>
    </row>
  </sheetData>
  <mergeCells count="37">
    <mergeCell ref="A1:R1"/>
    <mergeCell ref="A2:A5"/>
    <mergeCell ref="B2:C3"/>
    <mergeCell ref="D2:D5"/>
    <mergeCell ref="E2:E5"/>
    <mergeCell ref="F2:G3"/>
    <mergeCell ref="H2:N3"/>
    <mergeCell ref="O2:S3"/>
    <mergeCell ref="M4:M5"/>
    <mergeCell ref="N4:N5"/>
    <mergeCell ref="T2:T5"/>
    <mergeCell ref="B4:B5"/>
    <mergeCell ref="C4:C5"/>
    <mergeCell ref="F4:F5"/>
    <mergeCell ref="G4:G5"/>
    <mergeCell ref="H4:H5"/>
    <mergeCell ref="I4:I5"/>
    <mergeCell ref="J4:J5"/>
    <mergeCell ref="K4:K5"/>
    <mergeCell ref="L4:L5"/>
    <mergeCell ref="O4:R4"/>
    <mergeCell ref="S4:S5"/>
    <mergeCell ref="O7:O17"/>
    <mergeCell ref="Q7:Q17"/>
    <mergeCell ref="R7:R17"/>
    <mergeCell ref="A21:T21"/>
    <mergeCell ref="S7:S17"/>
    <mergeCell ref="T7:T17"/>
    <mergeCell ref="F13:G16"/>
    <mergeCell ref="P14:P15"/>
    <mergeCell ref="A19:S19"/>
    <mergeCell ref="A20:R20"/>
    <mergeCell ref="A7:A17"/>
    <mergeCell ref="B7:B17"/>
    <mergeCell ref="C7:C17"/>
    <mergeCell ref="D7:D17"/>
    <mergeCell ref="H7:N8"/>
  </mergeCells>
  <printOptions horizontalCentered="1" verticalCentered="1"/>
  <pageMargins left="0.39370078740157483" right="0.39370078740157483" top="0.39370078740157483" bottom="0.39370078740157483" header="0.31496062992125984" footer="0.31496062992125984"/>
  <pageSetup paperSize="9" scale="4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762A6-DBCA-4DED-8DC7-77DD5BD142A1}">
  <dimension ref="A1:T65"/>
  <sheetViews>
    <sheetView zoomScale="130" zoomScaleNormal="130" zoomScaleSheetLayoutView="110" workbookViewId="0">
      <pane xSplit="2" ySplit="5" topLeftCell="H48" activePane="bottomRight" state="frozen"/>
      <selection activeCell="D7" sqref="D7:D18"/>
      <selection pane="topRight" activeCell="D7" sqref="D7:D18"/>
      <selection pane="bottomLeft" activeCell="D7" sqref="D7:D18"/>
      <selection pane="bottomRight" activeCell="D6" sqref="D6:J18"/>
    </sheetView>
  </sheetViews>
  <sheetFormatPr defaultColWidth="29.5703125" defaultRowHeight="15" x14ac:dyDescent="0.25"/>
  <cols>
    <col min="1" max="1" width="19.140625" style="716" customWidth="1"/>
    <col min="2" max="2" width="15.5703125" style="716" customWidth="1"/>
    <col min="3" max="4" width="11.5703125" customWidth="1"/>
    <col min="5" max="6" width="15.140625" customWidth="1"/>
    <col min="7" max="7" width="14.42578125" style="50" customWidth="1"/>
    <col min="8" max="8" width="14.140625" style="50" customWidth="1"/>
    <col min="9" max="9" width="11" customWidth="1"/>
    <col min="10" max="10" width="12.85546875" customWidth="1"/>
    <col min="11" max="12" width="12.28515625" style="717" customWidth="1"/>
    <col min="13" max="13" width="13.85546875" style="717" customWidth="1"/>
    <col min="14" max="14" width="11.85546875" style="717" customWidth="1"/>
    <col min="15" max="15" width="9.140625" style="718" customWidth="1"/>
    <col min="16" max="16" width="17.140625" customWidth="1"/>
  </cols>
  <sheetData>
    <row r="1" spans="1:17" s="5" customFormat="1" ht="15.75" customHeight="1" x14ac:dyDescent="0.25">
      <c r="A1" s="1021" t="s">
        <v>820</v>
      </c>
      <c r="B1" s="1021"/>
      <c r="C1" s="1021"/>
      <c r="D1" s="1021"/>
      <c r="E1" s="1021"/>
      <c r="F1" s="1021"/>
      <c r="G1" s="1021"/>
      <c r="H1" s="1021"/>
      <c r="I1" s="1021"/>
      <c r="J1" s="1021"/>
      <c r="K1" s="1021"/>
      <c r="L1" s="1021"/>
      <c r="M1" s="1021"/>
      <c r="N1" s="1021"/>
      <c r="O1" s="1021"/>
    </row>
    <row r="2" spans="1:17" s="5" customFormat="1" ht="15" customHeight="1" x14ac:dyDescent="0.2">
      <c r="A2" s="778" t="s">
        <v>821</v>
      </c>
      <c r="B2" s="789" t="s">
        <v>822</v>
      </c>
      <c r="C2" s="1013" t="s">
        <v>776</v>
      </c>
      <c r="D2" s="1013" t="s">
        <v>669</v>
      </c>
      <c r="E2" s="1013"/>
      <c r="F2" s="1013"/>
      <c r="G2" s="1013"/>
      <c r="H2" s="1013"/>
      <c r="I2" s="1013"/>
      <c r="J2" s="1013"/>
      <c r="K2" s="1013" t="s">
        <v>778</v>
      </c>
      <c r="L2" s="1013"/>
      <c r="M2" s="1013"/>
      <c r="N2" s="1013"/>
      <c r="O2" s="1013"/>
    </row>
    <row r="3" spans="1:17" s="5" customFormat="1" ht="11.25" x14ac:dyDescent="0.2">
      <c r="A3" s="778"/>
      <c r="B3" s="790"/>
      <c r="C3" s="1013"/>
      <c r="D3" s="1013"/>
      <c r="E3" s="1013"/>
      <c r="F3" s="1013"/>
      <c r="G3" s="1013"/>
      <c r="H3" s="1013"/>
      <c r="I3" s="1013"/>
      <c r="J3" s="1013"/>
      <c r="K3" s="1013"/>
      <c r="L3" s="1013"/>
      <c r="M3" s="1013"/>
      <c r="N3" s="1013"/>
      <c r="O3" s="1013"/>
    </row>
    <row r="4" spans="1:17" s="5" customFormat="1" ht="45" x14ac:dyDescent="0.2">
      <c r="A4" s="778"/>
      <c r="B4" s="791"/>
      <c r="C4" s="1013"/>
      <c r="D4" s="638" t="s">
        <v>823</v>
      </c>
      <c r="E4" s="638" t="s">
        <v>824</v>
      </c>
      <c r="F4" s="638" t="s">
        <v>825</v>
      </c>
      <c r="G4" s="638" t="s">
        <v>826</v>
      </c>
      <c r="H4" s="638" t="s">
        <v>827</v>
      </c>
      <c r="I4" s="638" t="s">
        <v>828</v>
      </c>
      <c r="J4" s="638" t="s">
        <v>829</v>
      </c>
      <c r="K4" s="678" t="s">
        <v>830</v>
      </c>
      <c r="L4" s="678" t="s">
        <v>812</v>
      </c>
      <c r="M4" s="678" t="s">
        <v>831</v>
      </c>
      <c r="N4" s="678" t="s">
        <v>832</v>
      </c>
      <c r="O4" s="679" t="s">
        <v>787</v>
      </c>
    </row>
    <row r="5" spans="1:17" s="5" customFormat="1" ht="11.25" x14ac:dyDescent="0.2">
      <c r="A5" s="680" t="s">
        <v>305</v>
      </c>
      <c r="B5" s="680" t="s">
        <v>306</v>
      </c>
      <c r="C5" s="680" t="s">
        <v>307</v>
      </c>
      <c r="D5" s="681" t="s">
        <v>308</v>
      </c>
      <c r="E5" s="681" t="s">
        <v>309</v>
      </c>
      <c r="F5" s="681" t="s">
        <v>515</v>
      </c>
      <c r="G5" s="680" t="s">
        <v>637</v>
      </c>
      <c r="H5" s="680" t="s">
        <v>310</v>
      </c>
      <c r="I5" s="680" t="s">
        <v>788</v>
      </c>
      <c r="J5" s="682" t="s">
        <v>516</v>
      </c>
      <c r="K5" s="680" t="s">
        <v>705</v>
      </c>
      <c r="L5" s="680" t="s">
        <v>696</v>
      </c>
      <c r="M5" s="682" t="s">
        <v>789</v>
      </c>
      <c r="N5" s="683" t="s">
        <v>706</v>
      </c>
      <c r="O5" s="683" t="s">
        <v>833</v>
      </c>
    </row>
    <row r="6" spans="1:17" s="5" customFormat="1" ht="22.5" x14ac:dyDescent="0.2">
      <c r="A6" s="1053" t="s">
        <v>36</v>
      </c>
      <c r="B6" s="1064"/>
      <c r="C6" s="684" t="s">
        <v>794</v>
      </c>
      <c r="D6" s="1065"/>
      <c r="E6" s="1066"/>
      <c r="F6" s="1066"/>
      <c r="G6" s="1066"/>
      <c r="H6" s="1066"/>
      <c r="I6" s="1066"/>
      <c r="J6" s="1067"/>
      <c r="K6" s="1074">
        <v>183469545.022681</v>
      </c>
      <c r="L6" s="685"/>
      <c r="M6" s="685"/>
      <c r="N6" s="1074">
        <v>54249466.993331797</v>
      </c>
      <c r="O6" s="1059">
        <f>+N6/K6</f>
        <v>0.29568649656064355</v>
      </c>
    </row>
    <row r="7" spans="1:17" s="5" customFormat="1" ht="11.25" x14ac:dyDescent="0.2">
      <c r="A7" s="1054"/>
      <c r="B7" s="1064"/>
      <c r="C7" s="684">
        <v>2015</v>
      </c>
      <c r="D7" s="1071"/>
      <c r="E7" s="1072"/>
      <c r="F7" s="1072"/>
      <c r="G7" s="1072"/>
      <c r="H7" s="1072"/>
      <c r="I7" s="1072"/>
      <c r="J7" s="1073"/>
      <c r="K7" s="1075"/>
      <c r="L7" s="686"/>
      <c r="M7" s="686"/>
      <c r="N7" s="1075"/>
      <c r="O7" s="1060"/>
      <c r="P7" s="389"/>
    </row>
    <row r="8" spans="1:17" s="5" customFormat="1" ht="11.25" x14ac:dyDescent="0.2">
      <c r="A8" s="1054"/>
      <c r="B8" s="880" t="s">
        <v>834</v>
      </c>
      <c r="C8" s="684">
        <v>2016</v>
      </c>
      <c r="D8" s="687">
        <v>3750</v>
      </c>
      <c r="E8" s="688">
        <v>19302084.951600041</v>
      </c>
      <c r="F8" s="688">
        <v>17177681.640000053</v>
      </c>
      <c r="G8" s="689">
        <v>17562233.810000062</v>
      </c>
      <c r="H8" s="689">
        <v>17562233.810000062</v>
      </c>
      <c r="I8" s="687">
        <v>3554</v>
      </c>
      <c r="J8" s="687">
        <v>22</v>
      </c>
      <c r="K8" s="1075"/>
      <c r="L8" s="686"/>
      <c r="M8" s="686"/>
      <c r="N8" s="1075"/>
      <c r="O8" s="1060"/>
      <c r="P8" s="389"/>
    </row>
    <row r="9" spans="1:17" s="5" customFormat="1" ht="11.25" x14ac:dyDescent="0.2">
      <c r="A9" s="1054"/>
      <c r="B9" s="880"/>
      <c r="C9" s="684">
        <v>2017</v>
      </c>
      <c r="D9" s="687">
        <v>3590</v>
      </c>
      <c r="E9" s="688">
        <v>18882574.193400029</v>
      </c>
      <c r="F9" s="688">
        <v>14270964.990000013</v>
      </c>
      <c r="G9" s="689">
        <v>14254528.190000011</v>
      </c>
      <c r="H9" s="689">
        <v>14254528.190000011</v>
      </c>
      <c r="I9" s="687">
        <v>3357</v>
      </c>
      <c r="J9" s="687">
        <v>83</v>
      </c>
      <c r="K9" s="1075"/>
      <c r="L9" s="686"/>
      <c r="M9" s="686"/>
      <c r="N9" s="1075"/>
      <c r="O9" s="1060"/>
      <c r="P9" s="389"/>
    </row>
    <row r="10" spans="1:17" s="5" customFormat="1" ht="11.25" x14ac:dyDescent="0.2">
      <c r="A10" s="1054"/>
      <c r="B10" s="880"/>
      <c r="C10" s="684">
        <v>2018</v>
      </c>
      <c r="D10" s="687">
        <v>3589</v>
      </c>
      <c r="E10" s="688">
        <v>19162673.44160001</v>
      </c>
      <c r="F10" s="688">
        <v>14314291.260000026</v>
      </c>
      <c r="G10" s="689">
        <v>13994985.750000028</v>
      </c>
      <c r="H10" s="689">
        <v>13994985.750000028</v>
      </c>
      <c r="I10" s="687">
        <v>3272</v>
      </c>
      <c r="J10" s="687">
        <v>115</v>
      </c>
      <c r="K10" s="1075"/>
      <c r="L10" s="686"/>
      <c r="M10" s="686"/>
      <c r="N10" s="1075"/>
      <c r="O10" s="1060"/>
      <c r="P10" s="389"/>
    </row>
    <row r="11" spans="1:17" s="5" customFormat="1" ht="11.25" x14ac:dyDescent="0.2">
      <c r="A11" s="1054"/>
      <c r="B11" s="880"/>
      <c r="C11" s="684">
        <v>2019</v>
      </c>
      <c r="D11" s="687">
        <v>3583</v>
      </c>
      <c r="E11" s="688">
        <v>19181226.429000009</v>
      </c>
      <c r="F11" s="688">
        <v>14578436.350000056</v>
      </c>
      <c r="G11" s="689">
        <v>14309946.060000064</v>
      </c>
      <c r="H11" s="689">
        <v>14309946.060000064</v>
      </c>
      <c r="I11" s="687">
        <v>3343</v>
      </c>
      <c r="J11" s="687">
        <v>86</v>
      </c>
      <c r="K11" s="1075"/>
      <c r="L11" s="686"/>
      <c r="M11" s="686"/>
      <c r="N11" s="1075"/>
      <c r="O11" s="1060"/>
      <c r="P11" s="389"/>
    </row>
    <row r="12" spans="1:17" s="5" customFormat="1" ht="11.25" x14ac:dyDescent="0.2">
      <c r="A12" s="1054"/>
      <c r="B12" s="880"/>
      <c r="C12" s="684">
        <v>2020</v>
      </c>
      <c r="D12" s="687">
        <v>3563</v>
      </c>
      <c r="E12" s="688">
        <v>18831773.105000023</v>
      </c>
      <c r="F12" s="688">
        <v>14343330.380000031</v>
      </c>
      <c r="G12" s="689">
        <v>14392804.286000051</v>
      </c>
      <c r="H12" s="689">
        <v>14392804.286000051</v>
      </c>
      <c r="I12" s="687">
        <v>3317</v>
      </c>
      <c r="J12" s="687">
        <v>107</v>
      </c>
      <c r="K12" s="1075"/>
      <c r="L12" s="686"/>
      <c r="M12" s="686"/>
      <c r="N12" s="1075"/>
      <c r="O12" s="1060"/>
      <c r="P12" s="389"/>
      <c r="Q12" s="389"/>
    </row>
    <row r="13" spans="1:17" s="5" customFormat="1" ht="11.25" x14ac:dyDescent="0.2">
      <c r="A13" s="1054"/>
      <c r="B13" s="880"/>
      <c r="C13" s="684">
        <v>2021</v>
      </c>
      <c r="D13" s="687">
        <v>3433</v>
      </c>
      <c r="E13" s="688">
        <v>17894192.310000036</v>
      </c>
      <c r="F13" s="688">
        <v>14605953.89000006</v>
      </c>
      <c r="G13" s="689">
        <v>14728097.700000063</v>
      </c>
      <c r="H13" s="689">
        <v>14728097.700000063</v>
      </c>
      <c r="I13" s="687">
        <v>3278</v>
      </c>
      <c r="J13" s="687">
        <v>85</v>
      </c>
      <c r="K13" s="1075"/>
      <c r="L13" s="686"/>
      <c r="M13" s="686"/>
      <c r="N13" s="1075"/>
      <c r="O13" s="1060"/>
      <c r="P13" s="389"/>
    </row>
    <row r="14" spans="1:17" s="5" customFormat="1" ht="11.25" x14ac:dyDescent="0.2">
      <c r="A14" s="1054"/>
      <c r="B14" s="880"/>
      <c r="C14" s="690" t="s">
        <v>835</v>
      </c>
      <c r="D14" s="691">
        <f>SUM(D8:D13)</f>
        <v>21508</v>
      </c>
      <c r="E14" s="692">
        <f t="shared" ref="E14:J14" si="0">SUM(E8:E13)</f>
        <v>113254524.43060014</v>
      </c>
      <c r="F14" s="692">
        <f t="shared" si="0"/>
        <v>89290658.510000229</v>
      </c>
      <c r="G14" s="692">
        <f t="shared" si="0"/>
        <v>89242595.796000287</v>
      </c>
      <c r="H14" s="692">
        <f t="shared" si="0"/>
        <v>89242595.796000287</v>
      </c>
      <c r="I14" s="691">
        <f t="shared" si="0"/>
        <v>20121</v>
      </c>
      <c r="J14" s="691">
        <f t="shared" si="0"/>
        <v>498</v>
      </c>
      <c r="K14" s="1075"/>
      <c r="L14" s="686"/>
      <c r="M14" s="686"/>
      <c r="N14" s="1075"/>
      <c r="O14" s="1060"/>
      <c r="P14" s="389"/>
      <c r="Q14" s="389"/>
    </row>
    <row r="15" spans="1:17" s="5" customFormat="1" ht="11.25" x14ac:dyDescent="0.2">
      <c r="A15" s="1054"/>
      <c r="B15" s="880" t="s">
        <v>836</v>
      </c>
      <c r="C15" s="684">
        <v>2021</v>
      </c>
      <c r="D15" s="687">
        <v>4046</v>
      </c>
      <c r="E15" s="688">
        <v>23503747.570000079</v>
      </c>
      <c r="F15" s="688">
        <v>21548610.910000049</v>
      </c>
      <c r="G15" s="689">
        <v>21576836.950000044</v>
      </c>
      <c r="H15" s="689">
        <v>21576836.950000044</v>
      </c>
      <c r="I15" s="687">
        <v>3962</v>
      </c>
      <c r="J15" s="687">
        <v>21</v>
      </c>
      <c r="K15" s="1075"/>
      <c r="L15" s="1089">
        <v>27483428.789999999</v>
      </c>
      <c r="M15" s="686"/>
      <c r="N15" s="1075"/>
      <c r="O15" s="1060"/>
      <c r="P15" s="389"/>
    </row>
    <row r="16" spans="1:17" s="5" customFormat="1" ht="11.25" x14ac:dyDescent="0.2">
      <c r="A16" s="1054"/>
      <c r="B16" s="880"/>
      <c r="C16" s="684">
        <v>2022</v>
      </c>
      <c r="D16" s="687">
        <v>3937</v>
      </c>
      <c r="E16" s="688">
        <v>22818112.830000006</v>
      </c>
      <c r="F16" s="688">
        <v>20541020.089999989</v>
      </c>
      <c r="G16" s="689">
        <v>20546132.089999985</v>
      </c>
      <c r="H16" s="689">
        <v>20546132.089999985</v>
      </c>
      <c r="I16" s="687">
        <v>3874</v>
      </c>
      <c r="J16" s="687">
        <v>32</v>
      </c>
      <c r="K16" s="1075"/>
      <c r="L16" s="1089"/>
      <c r="M16" s="686"/>
      <c r="N16" s="1075"/>
      <c r="O16" s="1060"/>
      <c r="P16" s="389"/>
    </row>
    <row r="17" spans="1:16" s="5" customFormat="1" ht="11.25" x14ac:dyDescent="0.2">
      <c r="A17" s="1054"/>
      <c r="B17" s="880"/>
      <c r="C17" s="690" t="s">
        <v>837</v>
      </c>
      <c r="D17" s="691">
        <f>SUM(D15:D16)</f>
        <v>7983</v>
      </c>
      <c r="E17" s="692">
        <f t="shared" ref="E17:J17" si="1">SUM(E15:E16)</f>
        <v>46321860.40000008</v>
      </c>
      <c r="F17" s="692">
        <f t="shared" si="1"/>
        <v>42089631.000000037</v>
      </c>
      <c r="G17" s="692">
        <f t="shared" si="1"/>
        <v>42122969.040000029</v>
      </c>
      <c r="H17" s="692">
        <f t="shared" si="1"/>
        <v>42122969.040000029</v>
      </c>
      <c r="I17" s="691">
        <f t="shared" si="1"/>
        <v>7836</v>
      </c>
      <c r="J17" s="691">
        <f t="shared" si="1"/>
        <v>53</v>
      </c>
      <c r="K17" s="1076"/>
      <c r="L17" s="693"/>
      <c r="M17" s="693"/>
      <c r="N17" s="1076"/>
      <c r="O17" s="1061"/>
      <c r="P17" s="389"/>
    </row>
    <row r="18" spans="1:16" s="5" customFormat="1" ht="12" x14ac:dyDescent="0.2">
      <c r="A18" s="1055"/>
      <c r="B18" s="1062" t="s">
        <v>838</v>
      </c>
      <c r="C18" s="1063"/>
      <c r="D18" s="694">
        <f>+D14+D17</f>
        <v>29491</v>
      </c>
      <c r="E18" s="695">
        <f>+E17+E14</f>
        <v>159576384.8306002</v>
      </c>
      <c r="F18" s="695">
        <f>+F17+F14</f>
        <v>131380289.51000026</v>
      </c>
      <c r="G18" s="695">
        <f>+G17+G14</f>
        <v>131365564.83600032</v>
      </c>
      <c r="H18" s="695">
        <f>+H17+H14</f>
        <v>131365564.83600032</v>
      </c>
      <c r="I18" s="694">
        <f>+I17+I14</f>
        <v>27957</v>
      </c>
      <c r="J18" s="694">
        <f>+J14+J17</f>
        <v>551</v>
      </c>
      <c r="K18" s="696">
        <f>+K6</f>
        <v>183469545.022681</v>
      </c>
      <c r="L18" s="696">
        <f>SUM(L15+L16)</f>
        <v>27483428.789999999</v>
      </c>
      <c r="M18" s="696">
        <f>+M6</f>
        <v>0</v>
      </c>
      <c r="N18" s="696">
        <f>+N6</f>
        <v>54249466.993331797</v>
      </c>
      <c r="O18" s="697">
        <f>+O6</f>
        <v>0.29568649656064355</v>
      </c>
      <c r="P18" s="389"/>
    </row>
    <row r="19" spans="1:16" s="5" customFormat="1" ht="22.5" x14ac:dyDescent="0.2">
      <c r="A19" s="1086" t="s">
        <v>37</v>
      </c>
      <c r="B19" s="1083"/>
      <c r="C19" s="644" t="s">
        <v>794</v>
      </c>
      <c r="D19" s="1065"/>
      <c r="E19" s="1066"/>
      <c r="F19" s="1066"/>
      <c r="G19" s="1066"/>
      <c r="H19" s="1066"/>
      <c r="I19" s="1066"/>
      <c r="J19" s="1067"/>
      <c r="K19" s="1074">
        <v>17305150.1467232</v>
      </c>
      <c r="L19" s="685"/>
      <c r="M19" s="685"/>
      <c r="N19" s="1074">
        <v>1690258.094152</v>
      </c>
      <c r="O19" s="1059">
        <f>+N19/K19</f>
        <v>9.7673702904684551E-2</v>
      </c>
    </row>
    <row r="20" spans="1:16" s="5" customFormat="1" ht="11.25" x14ac:dyDescent="0.2">
      <c r="A20" s="1087"/>
      <c r="B20" s="1084"/>
      <c r="C20" s="644">
        <v>2015</v>
      </c>
      <c r="D20" s="1071"/>
      <c r="E20" s="1072"/>
      <c r="F20" s="1072"/>
      <c r="G20" s="1072"/>
      <c r="H20" s="1072"/>
      <c r="I20" s="1072"/>
      <c r="J20" s="1073"/>
      <c r="K20" s="1075"/>
      <c r="L20" s="686"/>
      <c r="M20" s="686"/>
      <c r="N20" s="1075"/>
      <c r="O20" s="1060"/>
    </row>
    <row r="21" spans="1:16" s="5" customFormat="1" ht="11.25" x14ac:dyDescent="0.2">
      <c r="A21" s="1087"/>
      <c r="B21" s="880" t="s">
        <v>834</v>
      </c>
      <c r="C21" s="644">
        <v>2016</v>
      </c>
      <c r="D21" s="687">
        <v>624</v>
      </c>
      <c r="E21" s="688">
        <v>3264636.6747000036</v>
      </c>
      <c r="F21" s="688">
        <v>1753417.6800000009</v>
      </c>
      <c r="G21" s="689">
        <v>1761714.8000000012</v>
      </c>
      <c r="H21" s="689">
        <v>1761714.8000000012</v>
      </c>
      <c r="I21" s="687">
        <v>272</v>
      </c>
      <c r="J21" s="687">
        <v>20</v>
      </c>
      <c r="K21" s="1075"/>
      <c r="L21" s="686"/>
      <c r="M21" s="686"/>
      <c r="N21" s="1075"/>
      <c r="O21" s="1060"/>
    </row>
    <row r="22" spans="1:16" s="5" customFormat="1" ht="11.25" x14ac:dyDescent="0.2">
      <c r="A22" s="1087"/>
      <c r="B22" s="880"/>
      <c r="C22" s="644">
        <v>2017</v>
      </c>
      <c r="D22" s="687">
        <v>427</v>
      </c>
      <c r="E22" s="688">
        <v>2713404.8311000024</v>
      </c>
      <c r="F22" s="688">
        <v>1729776.7700000005</v>
      </c>
      <c r="G22" s="689">
        <v>1713232.0400000005</v>
      </c>
      <c r="H22" s="689">
        <v>1713232.0400000005</v>
      </c>
      <c r="I22" s="687">
        <v>256</v>
      </c>
      <c r="J22" s="687">
        <v>27</v>
      </c>
      <c r="K22" s="1075"/>
      <c r="L22" s="686"/>
      <c r="M22" s="686"/>
      <c r="N22" s="1075"/>
      <c r="O22" s="1060"/>
      <c r="P22" s="389"/>
    </row>
    <row r="23" spans="1:16" s="5" customFormat="1" ht="11.25" x14ac:dyDescent="0.2">
      <c r="A23" s="1087"/>
      <c r="B23" s="880"/>
      <c r="C23" s="644">
        <v>2018</v>
      </c>
      <c r="D23" s="687">
        <v>323</v>
      </c>
      <c r="E23" s="688">
        <v>2488193.3481000015</v>
      </c>
      <c r="F23" s="688">
        <v>1696088.2200000002</v>
      </c>
      <c r="G23" s="689">
        <v>1625642.6</v>
      </c>
      <c r="H23" s="689">
        <v>1625642.6</v>
      </c>
      <c r="I23" s="687">
        <v>246</v>
      </c>
      <c r="J23" s="687">
        <v>28</v>
      </c>
      <c r="K23" s="1075"/>
      <c r="L23" s="686"/>
      <c r="M23" s="686"/>
      <c r="N23" s="1075"/>
      <c r="O23" s="1060"/>
    </row>
    <row r="24" spans="1:16" s="5" customFormat="1" ht="11.25" x14ac:dyDescent="0.2">
      <c r="A24" s="1087"/>
      <c r="B24" s="880"/>
      <c r="C24" s="644">
        <v>2019</v>
      </c>
      <c r="D24" s="687">
        <v>304</v>
      </c>
      <c r="E24" s="688">
        <v>2493428.7907000002</v>
      </c>
      <c r="F24" s="688">
        <v>1905992.4500000004</v>
      </c>
      <c r="G24" s="689">
        <v>1823233.4200000004</v>
      </c>
      <c r="H24" s="689">
        <v>1823233.4200000004</v>
      </c>
      <c r="I24" s="687">
        <v>243</v>
      </c>
      <c r="J24" s="687">
        <v>26</v>
      </c>
      <c r="K24" s="1075"/>
      <c r="L24" s="686"/>
      <c r="M24" s="686"/>
      <c r="N24" s="1075"/>
      <c r="O24" s="1060"/>
    </row>
    <row r="25" spans="1:16" s="5" customFormat="1" ht="11.25" x14ac:dyDescent="0.2">
      <c r="A25" s="1087"/>
      <c r="B25" s="880"/>
      <c r="C25" s="644">
        <v>2020</v>
      </c>
      <c r="D25" s="687">
        <v>292</v>
      </c>
      <c r="E25" s="688">
        <v>2374449.2291999985</v>
      </c>
      <c r="F25" s="688">
        <v>1815651.2500000005</v>
      </c>
      <c r="G25" s="689">
        <v>1735586.2000000004</v>
      </c>
      <c r="H25" s="689">
        <v>1735586.2000000004</v>
      </c>
      <c r="I25" s="687">
        <v>236</v>
      </c>
      <c r="J25" s="687">
        <v>32</v>
      </c>
      <c r="K25" s="1075"/>
      <c r="L25" s="686"/>
      <c r="M25" s="686"/>
      <c r="N25" s="1075"/>
      <c r="O25" s="1060"/>
    </row>
    <row r="26" spans="1:16" s="5" customFormat="1" ht="11.25" x14ac:dyDescent="0.2">
      <c r="A26" s="1087"/>
      <c r="B26" s="880"/>
      <c r="C26" s="690" t="s">
        <v>835</v>
      </c>
      <c r="D26" s="691">
        <f t="shared" ref="D26:J26" si="2">SUM(D21:D25)</f>
        <v>1970</v>
      </c>
      <c r="E26" s="692">
        <f t="shared" si="2"/>
        <v>13334112.873800006</v>
      </c>
      <c r="F26" s="692">
        <f t="shared" si="2"/>
        <v>8900926.3700000029</v>
      </c>
      <c r="G26" s="692">
        <f t="shared" si="2"/>
        <v>8659409.0600000024</v>
      </c>
      <c r="H26" s="692">
        <f t="shared" si="2"/>
        <v>8659409.0600000024</v>
      </c>
      <c r="I26" s="691">
        <f t="shared" si="2"/>
        <v>1253</v>
      </c>
      <c r="J26" s="691">
        <f t="shared" si="2"/>
        <v>133</v>
      </c>
      <c r="K26" s="1075"/>
      <c r="L26" s="686"/>
      <c r="M26" s="686"/>
      <c r="N26" s="1075"/>
      <c r="O26" s="1060"/>
    </row>
    <row r="27" spans="1:16" s="5" customFormat="1" ht="11.25" x14ac:dyDescent="0.2">
      <c r="A27" s="1087"/>
      <c r="B27" s="880" t="s">
        <v>836</v>
      </c>
      <c r="C27" s="644">
        <v>2021</v>
      </c>
      <c r="D27" s="687">
        <v>317</v>
      </c>
      <c r="E27" s="688">
        <v>3177928.9700000011</v>
      </c>
      <c r="F27" s="688">
        <v>2747740.7099999995</v>
      </c>
      <c r="G27" s="689">
        <v>2715713.5999999996</v>
      </c>
      <c r="H27" s="689">
        <v>2715713.5999999996</v>
      </c>
      <c r="I27" s="687">
        <v>299</v>
      </c>
      <c r="J27" s="687">
        <v>2</v>
      </c>
      <c r="K27" s="1075"/>
      <c r="L27" s="686"/>
      <c r="M27" s="686"/>
      <c r="N27" s="1075"/>
      <c r="O27" s="1060"/>
      <c r="P27" s="389"/>
    </row>
    <row r="28" spans="1:16" s="5" customFormat="1" ht="11.25" x14ac:dyDescent="0.2">
      <c r="A28" s="1087"/>
      <c r="B28" s="880"/>
      <c r="C28" s="644">
        <v>2022</v>
      </c>
      <c r="D28" s="687">
        <v>291</v>
      </c>
      <c r="E28" s="688">
        <v>3031067.5399999982</v>
      </c>
      <c r="F28" s="688">
        <v>2579485.5600000015</v>
      </c>
      <c r="G28" s="689">
        <v>2510955.6700000018</v>
      </c>
      <c r="H28" s="689">
        <v>2510955.6700000018</v>
      </c>
      <c r="I28" s="687">
        <v>273</v>
      </c>
      <c r="J28" s="687">
        <v>10</v>
      </c>
      <c r="K28" s="1075"/>
      <c r="L28" s="686"/>
      <c r="M28" s="686"/>
      <c r="N28" s="1075"/>
      <c r="O28" s="1060"/>
    </row>
    <row r="29" spans="1:16" s="5" customFormat="1" ht="11.25" x14ac:dyDescent="0.2">
      <c r="A29" s="1087"/>
      <c r="B29" s="880"/>
      <c r="C29" s="644">
        <v>2023</v>
      </c>
      <c r="D29" s="687">
        <v>279</v>
      </c>
      <c r="E29" s="688">
        <v>2939798.8300000019</v>
      </c>
      <c r="F29" s="688">
        <v>2322609.9200000009</v>
      </c>
      <c r="G29" s="689">
        <v>2247352.5500000003</v>
      </c>
      <c r="H29" s="689">
        <v>2247352.5500000003</v>
      </c>
      <c r="I29" s="687">
        <v>261</v>
      </c>
      <c r="J29" s="687">
        <v>16</v>
      </c>
      <c r="K29" s="1075"/>
      <c r="L29" s="686"/>
      <c r="M29" s="686"/>
      <c r="N29" s="1075"/>
      <c r="O29" s="1060"/>
    </row>
    <row r="30" spans="1:16" s="5" customFormat="1" ht="11.25" x14ac:dyDescent="0.2">
      <c r="A30" s="1087"/>
      <c r="B30" s="880"/>
      <c r="C30" s="690" t="s">
        <v>837</v>
      </c>
      <c r="D30" s="691">
        <f>+D27+D28+D29</f>
        <v>887</v>
      </c>
      <c r="E30" s="692">
        <f t="shared" ref="E30:J30" si="3">+E27+E28+E29</f>
        <v>9148795.3400000017</v>
      </c>
      <c r="F30" s="692">
        <f t="shared" si="3"/>
        <v>7649836.1900000023</v>
      </c>
      <c r="G30" s="692">
        <f t="shared" si="3"/>
        <v>7474021.8200000022</v>
      </c>
      <c r="H30" s="692">
        <f t="shared" si="3"/>
        <v>7474021.8200000022</v>
      </c>
      <c r="I30" s="691">
        <f>+I27+I28+I29</f>
        <v>833</v>
      </c>
      <c r="J30" s="691">
        <f t="shared" si="3"/>
        <v>28</v>
      </c>
      <c r="K30" s="1076"/>
      <c r="L30" s="693"/>
      <c r="M30" s="693"/>
      <c r="N30" s="1076"/>
      <c r="O30" s="1061"/>
    </row>
    <row r="31" spans="1:16" s="5" customFormat="1" ht="12" x14ac:dyDescent="0.2">
      <c r="A31" s="1088"/>
      <c r="B31" s="1062" t="s">
        <v>839</v>
      </c>
      <c r="C31" s="1063"/>
      <c r="D31" s="694">
        <f>+D30+D26</f>
        <v>2857</v>
      </c>
      <c r="E31" s="695">
        <f t="shared" ref="E31:J31" si="4">+E30+E26</f>
        <v>22482908.213800006</v>
      </c>
      <c r="F31" s="695">
        <f>+F30+F26</f>
        <v>16550762.560000006</v>
      </c>
      <c r="G31" s="695">
        <f t="shared" si="4"/>
        <v>16133430.880000005</v>
      </c>
      <c r="H31" s="695">
        <f t="shared" si="4"/>
        <v>16133430.880000005</v>
      </c>
      <c r="I31" s="694">
        <f t="shared" si="4"/>
        <v>2086</v>
      </c>
      <c r="J31" s="694">
        <f t="shared" si="4"/>
        <v>161</v>
      </c>
      <c r="K31" s="696">
        <f>+K19</f>
        <v>17305150.1467232</v>
      </c>
      <c r="L31" s="696">
        <f>+L19</f>
        <v>0</v>
      </c>
      <c r="M31" s="696">
        <f>+M19</f>
        <v>0</v>
      </c>
      <c r="N31" s="696">
        <f>+N19</f>
        <v>1690258.094152</v>
      </c>
      <c r="O31" s="697">
        <f>+O19</f>
        <v>9.7673702904684551E-2</v>
      </c>
    </row>
    <row r="32" spans="1:16" s="5" customFormat="1" ht="22.5" x14ac:dyDescent="0.2">
      <c r="A32" s="1053" t="s">
        <v>840</v>
      </c>
      <c r="B32" s="1083"/>
      <c r="C32" s="644" t="s">
        <v>794</v>
      </c>
      <c r="D32" s="1065"/>
      <c r="E32" s="1066"/>
      <c r="F32" s="1066"/>
      <c r="G32" s="1066"/>
      <c r="H32" s="1066"/>
      <c r="I32" s="1066"/>
      <c r="J32" s="1067"/>
      <c r="K32" s="1074">
        <v>15755316.304791801</v>
      </c>
      <c r="L32" s="685"/>
      <c r="M32" s="685"/>
      <c r="N32" s="1074">
        <v>15755316.304791801</v>
      </c>
      <c r="O32" s="1059">
        <f>+N32/K32</f>
        <v>1</v>
      </c>
    </row>
    <row r="33" spans="1:17" s="5" customFormat="1" ht="11.25" x14ac:dyDescent="0.2">
      <c r="A33" s="1054"/>
      <c r="B33" s="1084"/>
      <c r="C33" s="644">
        <v>2015</v>
      </c>
      <c r="D33" s="1068"/>
      <c r="E33" s="1069"/>
      <c r="F33" s="1069"/>
      <c r="G33" s="1069"/>
      <c r="H33" s="1069"/>
      <c r="I33" s="1069"/>
      <c r="J33" s="1070"/>
      <c r="K33" s="1075"/>
      <c r="L33" s="686"/>
      <c r="M33" s="686"/>
      <c r="N33" s="1075"/>
      <c r="O33" s="1060"/>
      <c r="P33" s="389"/>
    </row>
    <row r="34" spans="1:17" s="5" customFormat="1" ht="11.25" x14ac:dyDescent="0.2">
      <c r="A34" s="1054"/>
      <c r="B34" s="1084"/>
      <c r="C34" s="644">
        <v>2016</v>
      </c>
      <c r="D34" s="1068"/>
      <c r="E34" s="1069"/>
      <c r="F34" s="1069"/>
      <c r="G34" s="1069"/>
      <c r="H34" s="1069"/>
      <c r="I34" s="1069"/>
      <c r="J34" s="1070"/>
      <c r="K34" s="1075"/>
      <c r="L34" s="686"/>
      <c r="M34" s="686"/>
      <c r="N34" s="1075"/>
      <c r="O34" s="1060"/>
    </row>
    <row r="35" spans="1:17" s="5" customFormat="1" ht="11.25" x14ac:dyDescent="0.2">
      <c r="A35" s="1054"/>
      <c r="B35" s="1084"/>
      <c r="C35" s="644">
        <v>2017</v>
      </c>
      <c r="D35" s="1068"/>
      <c r="E35" s="1069"/>
      <c r="F35" s="1069"/>
      <c r="G35" s="1069"/>
      <c r="H35" s="1069"/>
      <c r="I35" s="1069"/>
      <c r="J35" s="1070"/>
      <c r="K35" s="1075"/>
      <c r="L35" s="686"/>
      <c r="M35" s="686"/>
      <c r="N35" s="1075"/>
      <c r="O35" s="1060"/>
    </row>
    <row r="36" spans="1:17" s="5" customFormat="1" ht="11.25" x14ac:dyDescent="0.2">
      <c r="A36" s="1054"/>
      <c r="B36" s="1085"/>
      <c r="C36" s="644">
        <v>2018</v>
      </c>
      <c r="D36" s="1068"/>
      <c r="E36" s="1069"/>
      <c r="F36" s="1069"/>
      <c r="G36" s="1069"/>
      <c r="H36" s="1069"/>
      <c r="I36" s="1069"/>
      <c r="J36" s="1070"/>
      <c r="K36" s="1075"/>
      <c r="L36" s="686"/>
      <c r="M36" s="686"/>
      <c r="N36" s="1075"/>
      <c r="O36" s="1060"/>
    </row>
    <row r="37" spans="1:17" s="5" customFormat="1" ht="11.25" x14ac:dyDescent="0.2">
      <c r="A37" s="1055"/>
      <c r="B37" s="1077" t="s">
        <v>841</v>
      </c>
      <c r="C37" s="1078"/>
      <c r="D37" s="1079"/>
      <c r="E37" s="1080"/>
      <c r="F37" s="1080"/>
      <c r="G37" s="1080"/>
      <c r="H37" s="1080"/>
      <c r="I37" s="1081"/>
      <c r="J37" s="1082"/>
      <c r="K37" s="698">
        <f>+K32</f>
        <v>15755316.304791801</v>
      </c>
      <c r="L37" s="698">
        <f>+L32</f>
        <v>0</v>
      </c>
      <c r="M37" s="698">
        <f>+M32</f>
        <v>0</v>
      </c>
      <c r="N37" s="698">
        <f>+N32</f>
        <v>15755316.304791801</v>
      </c>
      <c r="O37" s="699">
        <f>+N37/K37</f>
        <v>1</v>
      </c>
    </row>
    <row r="38" spans="1:17" s="5" customFormat="1" ht="11.25" customHeight="1" x14ac:dyDescent="0.2">
      <c r="A38" s="1050" t="s">
        <v>842</v>
      </c>
      <c r="B38" s="1053" t="s">
        <v>843</v>
      </c>
      <c r="C38" s="456">
        <v>2022</v>
      </c>
      <c r="D38" s="687">
        <v>15</v>
      </c>
      <c r="E38" s="688">
        <v>42726</v>
      </c>
      <c r="F38" s="688">
        <v>25668.07</v>
      </c>
      <c r="G38" s="689">
        <v>18828.03</v>
      </c>
      <c r="H38" s="689">
        <v>18828.03</v>
      </c>
      <c r="I38" s="700">
        <v>10</v>
      </c>
      <c r="J38" s="700">
        <v>3</v>
      </c>
      <c r="K38" s="1056">
        <v>29385.17</v>
      </c>
      <c r="L38" s="701"/>
      <c r="M38" s="701"/>
      <c r="N38" s="1056">
        <v>0</v>
      </c>
      <c r="O38" s="1059">
        <v>0</v>
      </c>
    </row>
    <row r="39" spans="1:17" s="5" customFormat="1" ht="11.25" x14ac:dyDescent="0.2">
      <c r="A39" s="1051"/>
      <c r="B39" s="1054"/>
      <c r="C39" s="456">
        <v>2023</v>
      </c>
      <c r="D39" s="687">
        <v>11</v>
      </c>
      <c r="E39" s="688">
        <v>29930.23</v>
      </c>
      <c r="F39" s="688">
        <v>16583.379999999997</v>
      </c>
      <c r="G39" s="689">
        <v>18828.03</v>
      </c>
      <c r="H39" s="689">
        <v>5970.869999999999</v>
      </c>
      <c r="I39" s="700">
        <v>3</v>
      </c>
      <c r="J39" s="700">
        <v>5</v>
      </c>
      <c r="K39" s="1057"/>
      <c r="L39" s="702"/>
      <c r="M39" s="702"/>
      <c r="N39" s="1057"/>
      <c r="O39" s="1060"/>
    </row>
    <row r="40" spans="1:17" s="5" customFormat="1" ht="11.25" x14ac:dyDescent="0.2">
      <c r="A40" s="1051"/>
      <c r="B40" s="1055"/>
      <c r="C40" s="456">
        <v>2024</v>
      </c>
      <c r="D40" s="687">
        <v>8</v>
      </c>
      <c r="E40" s="688">
        <v>29795.88</v>
      </c>
      <c r="F40" s="688">
        <v>4586.3500000000004</v>
      </c>
      <c r="G40" s="689">
        <v>18828.03</v>
      </c>
      <c r="H40" s="689">
        <v>4586.3500000000004</v>
      </c>
      <c r="I40" s="700">
        <v>2</v>
      </c>
      <c r="J40" s="700">
        <v>5</v>
      </c>
      <c r="K40" s="1058"/>
      <c r="L40" s="703"/>
      <c r="M40" s="703"/>
      <c r="N40" s="1058"/>
      <c r="O40" s="1061"/>
    </row>
    <row r="41" spans="1:17" s="5" customFormat="1" ht="12" x14ac:dyDescent="0.2">
      <c r="A41" s="1052"/>
      <c r="B41" s="1062" t="s">
        <v>844</v>
      </c>
      <c r="C41" s="1063"/>
      <c r="D41" s="694">
        <f>+D38+D39+D40</f>
        <v>34</v>
      </c>
      <c r="E41" s="695">
        <f t="shared" ref="E41:J41" si="5">+E38+E39+E40</f>
        <v>102452.11</v>
      </c>
      <c r="F41" s="695">
        <f t="shared" si="5"/>
        <v>46837.799999999996</v>
      </c>
      <c r="G41" s="695">
        <f t="shared" si="5"/>
        <v>56484.09</v>
      </c>
      <c r="H41" s="695">
        <f t="shared" si="5"/>
        <v>29385.25</v>
      </c>
      <c r="I41" s="694">
        <f t="shared" si="5"/>
        <v>15</v>
      </c>
      <c r="J41" s="694">
        <f t="shared" si="5"/>
        <v>13</v>
      </c>
      <c r="K41" s="696">
        <f>+K38</f>
        <v>29385.17</v>
      </c>
      <c r="L41" s="696">
        <f>+L38</f>
        <v>0</v>
      </c>
      <c r="M41" s="696">
        <f>+M38</f>
        <v>0</v>
      </c>
      <c r="N41" s="696">
        <f>+N38</f>
        <v>0</v>
      </c>
      <c r="O41" s="697">
        <v>0</v>
      </c>
      <c r="Q41" s="389"/>
    </row>
    <row r="42" spans="1:17" s="5" customFormat="1" ht="22.5" customHeight="1" x14ac:dyDescent="0.2">
      <c r="A42" s="1050" t="s">
        <v>845</v>
      </c>
      <c r="B42" s="1064"/>
      <c r="C42" s="704" t="s">
        <v>794</v>
      </c>
      <c r="D42" s="1065"/>
      <c r="E42" s="1066"/>
      <c r="F42" s="1066"/>
      <c r="G42" s="1066"/>
      <c r="H42" s="1066"/>
      <c r="I42" s="1066"/>
      <c r="J42" s="1067"/>
      <c r="K42" s="1074">
        <v>20966815.5174703</v>
      </c>
      <c r="L42" s="685"/>
      <c r="M42" s="685"/>
      <c r="N42" s="1074">
        <v>12238755.057724399</v>
      </c>
      <c r="O42" s="1059">
        <f>+N42/K42</f>
        <v>0.58372026250369935</v>
      </c>
    </row>
    <row r="43" spans="1:17" s="5" customFormat="1" ht="11.25" x14ac:dyDescent="0.2">
      <c r="A43" s="1051"/>
      <c r="B43" s="1064"/>
      <c r="C43" s="704">
        <v>2015</v>
      </c>
      <c r="D43" s="1068"/>
      <c r="E43" s="1069"/>
      <c r="F43" s="1069"/>
      <c r="G43" s="1069"/>
      <c r="H43" s="1069"/>
      <c r="I43" s="1069"/>
      <c r="J43" s="1070"/>
      <c r="K43" s="1075"/>
      <c r="L43" s="686"/>
      <c r="M43" s="686"/>
      <c r="N43" s="1075"/>
      <c r="O43" s="1060"/>
    </row>
    <row r="44" spans="1:17" s="5" customFormat="1" ht="11.25" x14ac:dyDescent="0.2">
      <c r="A44" s="1051"/>
      <c r="B44" s="1064"/>
      <c r="C44" s="704">
        <v>2016</v>
      </c>
      <c r="D44" s="1068"/>
      <c r="E44" s="1069"/>
      <c r="F44" s="1069"/>
      <c r="G44" s="1069"/>
      <c r="H44" s="1069"/>
      <c r="I44" s="1069"/>
      <c r="J44" s="1070"/>
      <c r="K44" s="1075"/>
      <c r="L44" s="686"/>
      <c r="M44" s="686"/>
      <c r="N44" s="1075"/>
      <c r="O44" s="1060"/>
    </row>
    <row r="45" spans="1:17" s="5" customFormat="1" ht="11.25" x14ac:dyDescent="0.2">
      <c r="A45" s="1051"/>
      <c r="B45" s="1064"/>
      <c r="C45" s="704">
        <v>2017</v>
      </c>
      <c r="D45" s="1068"/>
      <c r="E45" s="1069"/>
      <c r="F45" s="1069"/>
      <c r="G45" s="1069"/>
      <c r="H45" s="1069"/>
      <c r="I45" s="1069"/>
      <c r="J45" s="1070"/>
      <c r="K45" s="1075"/>
      <c r="L45" s="686"/>
      <c r="M45" s="686"/>
      <c r="N45" s="1075"/>
      <c r="O45" s="1060"/>
    </row>
    <row r="46" spans="1:17" s="5" customFormat="1" ht="11.25" x14ac:dyDescent="0.2">
      <c r="A46" s="1051"/>
      <c r="B46" s="1064"/>
      <c r="C46" s="704">
        <v>2018</v>
      </c>
      <c r="D46" s="1068"/>
      <c r="E46" s="1069"/>
      <c r="F46" s="1069"/>
      <c r="G46" s="1069"/>
      <c r="H46" s="1069"/>
      <c r="I46" s="1069"/>
      <c r="J46" s="1070"/>
      <c r="K46" s="1075"/>
      <c r="L46" s="686"/>
      <c r="M46" s="686"/>
      <c r="N46" s="1075"/>
      <c r="O46" s="1060"/>
    </row>
    <row r="47" spans="1:17" s="5" customFormat="1" ht="11.25" x14ac:dyDescent="0.2">
      <c r="A47" s="1051"/>
      <c r="B47" s="1064"/>
      <c r="C47" s="704">
        <v>2019</v>
      </c>
      <c r="D47" s="1071"/>
      <c r="E47" s="1072"/>
      <c r="F47" s="1072"/>
      <c r="G47" s="1072"/>
      <c r="H47" s="1072"/>
      <c r="I47" s="1072"/>
      <c r="J47" s="1073"/>
      <c r="K47" s="1075"/>
      <c r="L47" s="686"/>
      <c r="M47" s="686"/>
      <c r="N47" s="1075"/>
      <c r="O47" s="1060"/>
    </row>
    <row r="48" spans="1:17" s="5" customFormat="1" ht="11.25" x14ac:dyDescent="0.2">
      <c r="A48" s="1051"/>
      <c r="B48" s="1054" t="s">
        <v>846</v>
      </c>
      <c r="C48" s="704">
        <v>2020</v>
      </c>
      <c r="D48" s="687">
        <v>2175</v>
      </c>
      <c r="E48" s="688">
        <v>5713633.0999999978</v>
      </c>
      <c r="F48" s="688">
        <v>3097417.4100000015</v>
      </c>
      <c r="G48" s="689">
        <v>2962527.4200000004</v>
      </c>
      <c r="H48" s="689">
        <v>2962527.4200000004</v>
      </c>
      <c r="I48" s="705">
        <v>1621</v>
      </c>
      <c r="J48" s="706">
        <v>40</v>
      </c>
      <c r="K48" s="1075"/>
      <c r="L48" s="686"/>
      <c r="M48" s="686"/>
      <c r="N48" s="1075"/>
      <c r="O48" s="1060"/>
    </row>
    <row r="49" spans="1:20" s="5" customFormat="1" ht="11.25" x14ac:dyDescent="0.2">
      <c r="A49" s="1051"/>
      <c r="B49" s="1054"/>
      <c r="C49" s="644">
        <v>2021</v>
      </c>
      <c r="D49" s="687">
        <v>2071</v>
      </c>
      <c r="E49" s="688">
        <v>5312122.1599999955</v>
      </c>
      <c r="F49" s="688">
        <v>4558219.8199999994</v>
      </c>
      <c r="G49" s="689">
        <v>3283766.3400000008</v>
      </c>
      <c r="H49" s="689">
        <v>3283766.3400000008</v>
      </c>
      <c r="I49" s="687">
        <v>1287</v>
      </c>
      <c r="J49" s="706">
        <v>29</v>
      </c>
      <c r="K49" s="1075"/>
      <c r="L49" s="686"/>
      <c r="M49" s="686"/>
      <c r="N49" s="1075"/>
      <c r="O49" s="1060"/>
    </row>
    <row r="50" spans="1:20" s="5" customFormat="1" ht="11.25" x14ac:dyDescent="0.2">
      <c r="A50" s="1051"/>
      <c r="B50" s="1054"/>
      <c r="C50" s="644">
        <v>2022</v>
      </c>
      <c r="D50" s="687">
        <v>1190</v>
      </c>
      <c r="E50" s="688">
        <v>3230704.9999999991</v>
      </c>
      <c r="F50" s="688">
        <v>2671988.6500000008</v>
      </c>
      <c r="G50" s="689">
        <v>2597328.7100000004</v>
      </c>
      <c r="H50" s="689">
        <v>2597328.7100000004</v>
      </c>
      <c r="I50" s="687">
        <v>1025</v>
      </c>
      <c r="J50" s="687">
        <v>50</v>
      </c>
      <c r="K50" s="1075"/>
      <c r="L50" s="686"/>
      <c r="M50" s="686"/>
      <c r="N50" s="1075"/>
      <c r="O50" s="1060"/>
    </row>
    <row r="51" spans="1:20" s="5" customFormat="1" ht="13.5" customHeight="1" x14ac:dyDescent="0.2">
      <c r="A51" s="1052"/>
      <c r="B51" s="1062" t="s">
        <v>847</v>
      </c>
      <c r="C51" s="1063"/>
      <c r="D51" s="694">
        <f t="shared" ref="D51:J51" si="6">SUM(D48:D50)</f>
        <v>5436</v>
      </c>
      <c r="E51" s="695">
        <f t="shared" si="6"/>
        <v>14256460.259999994</v>
      </c>
      <c r="F51" s="695">
        <f t="shared" si="6"/>
        <v>10327625.880000001</v>
      </c>
      <c r="G51" s="695">
        <f t="shared" si="6"/>
        <v>8843622.4700000025</v>
      </c>
      <c r="H51" s="695">
        <f t="shared" si="6"/>
        <v>8843622.4700000025</v>
      </c>
      <c r="I51" s="694">
        <f t="shared" si="6"/>
        <v>3933</v>
      </c>
      <c r="J51" s="694">
        <f t="shared" si="6"/>
        <v>119</v>
      </c>
      <c r="K51" s="696">
        <f>+K42</f>
        <v>20966815.5174703</v>
      </c>
      <c r="L51" s="696">
        <f>+L42</f>
        <v>0</v>
      </c>
      <c r="M51" s="696">
        <f>+M42</f>
        <v>0</v>
      </c>
      <c r="N51" s="696">
        <f>+N42</f>
        <v>12238755.057724399</v>
      </c>
      <c r="O51" s="697">
        <f>+N51/K51</f>
        <v>0.58372026250369935</v>
      </c>
    </row>
    <row r="52" spans="1:20" s="5" customFormat="1" ht="11.25" customHeight="1" x14ac:dyDescent="0.2">
      <c r="A52" s="1050" t="s">
        <v>848</v>
      </c>
      <c r="B52" s="1053" t="s">
        <v>843</v>
      </c>
      <c r="C52" s="704">
        <v>2022</v>
      </c>
      <c r="D52" s="687">
        <v>1227</v>
      </c>
      <c r="E52" s="688">
        <v>3831133.4000000013</v>
      </c>
      <c r="F52" s="688">
        <v>3109952.2499999991</v>
      </c>
      <c r="G52" s="689">
        <v>3333333.3333333302</v>
      </c>
      <c r="H52" s="707">
        <v>3114924.63</v>
      </c>
      <c r="I52" s="687">
        <v>1125</v>
      </c>
      <c r="J52" s="704">
        <v>38</v>
      </c>
      <c r="K52" s="1056">
        <v>7501199.04</v>
      </c>
      <c r="L52" s="701"/>
      <c r="M52" s="1056">
        <f>+K52</f>
        <v>7501199.04</v>
      </c>
      <c r="N52" s="1056">
        <v>0</v>
      </c>
      <c r="O52" s="1059">
        <f>+N52/K52</f>
        <v>0</v>
      </c>
    </row>
    <row r="53" spans="1:20" s="5" customFormat="1" ht="11.25" x14ac:dyDescent="0.2">
      <c r="A53" s="1051"/>
      <c r="B53" s="1054"/>
      <c r="C53" s="704" t="s">
        <v>849</v>
      </c>
      <c r="D53" s="687">
        <v>1157</v>
      </c>
      <c r="E53" s="688">
        <v>3405530.2000000016</v>
      </c>
      <c r="F53" s="688">
        <v>2698880.1000000006</v>
      </c>
      <c r="G53" s="689">
        <v>3333333.3333333302</v>
      </c>
      <c r="H53" s="707">
        <v>2525251.5700000003</v>
      </c>
      <c r="I53" s="704">
        <v>882</v>
      </c>
      <c r="J53" s="687">
        <v>172</v>
      </c>
      <c r="K53" s="1057"/>
      <c r="L53" s="702"/>
      <c r="M53" s="1057"/>
      <c r="N53" s="1057"/>
      <c r="O53" s="1060" t="e">
        <f t="shared" ref="O53:O54" si="7">+N53/K53</f>
        <v>#DIV/0!</v>
      </c>
    </row>
    <row r="54" spans="1:20" s="5" customFormat="1" ht="12" customHeight="1" x14ac:dyDescent="0.2">
      <c r="A54" s="1051"/>
      <c r="B54" s="1055"/>
      <c r="C54" s="644">
        <v>2024</v>
      </c>
      <c r="D54" s="687">
        <v>1072</v>
      </c>
      <c r="E54" s="688">
        <v>2498603.6</v>
      </c>
      <c r="F54" s="688">
        <v>1962730.2700000003</v>
      </c>
      <c r="G54" s="689">
        <v>3333333.3333333302</v>
      </c>
      <c r="H54" s="689">
        <v>1851477.34</v>
      </c>
      <c r="I54" s="687">
        <v>621</v>
      </c>
      <c r="J54" s="687">
        <v>389</v>
      </c>
      <c r="K54" s="1058"/>
      <c r="L54" s="703"/>
      <c r="M54" s="1058"/>
      <c r="N54" s="1058"/>
      <c r="O54" s="1061" t="e">
        <f t="shared" si="7"/>
        <v>#DIV/0!</v>
      </c>
    </row>
    <row r="55" spans="1:20" s="5" customFormat="1" ht="11.25" customHeight="1" x14ac:dyDescent="0.2">
      <c r="A55" s="1052"/>
      <c r="B55" s="1062" t="s">
        <v>850</v>
      </c>
      <c r="C55" s="1063"/>
      <c r="D55" s="694">
        <f>+D52+D53+D54</f>
        <v>3456</v>
      </c>
      <c r="E55" s="695">
        <f t="shared" ref="E55:J55" si="8">+E52+E53+E54</f>
        <v>9735267.200000003</v>
      </c>
      <c r="F55" s="695">
        <f t="shared" si="8"/>
        <v>7771562.6200000001</v>
      </c>
      <c r="G55" s="695">
        <f t="shared" si="8"/>
        <v>9999999.9999999907</v>
      </c>
      <c r="H55" s="695">
        <f t="shared" si="8"/>
        <v>7491653.54</v>
      </c>
      <c r="I55" s="694">
        <f t="shared" si="8"/>
        <v>2628</v>
      </c>
      <c r="J55" s="694">
        <f t="shared" si="8"/>
        <v>599</v>
      </c>
      <c r="K55" s="696">
        <f>+K52</f>
        <v>7501199.04</v>
      </c>
      <c r="L55" s="696">
        <f>+L52</f>
        <v>0</v>
      </c>
      <c r="M55" s="696">
        <f>+M52</f>
        <v>7501199.04</v>
      </c>
      <c r="N55" s="696">
        <f>+N52</f>
        <v>0</v>
      </c>
      <c r="O55" s="697">
        <f>+O52</f>
        <v>0</v>
      </c>
    </row>
    <row r="56" spans="1:20" s="5" customFormat="1" ht="15.75" customHeight="1" x14ac:dyDescent="0.2">
      <c r="A56" s="1046" t="s">
        <v>851</v>
      </c>
      <c r="B56" s="1047"/>
      <c r="C56" s="1048"/>
      <c r="D56" s="708">
        <f>+D55+D51+D41+D37+D31+D18</f>
        <v>41274</v>
      </c>
      <c r="E56" s="709">
        <f t="shared" ref="E56:J56" si="9">+E55+E51+E41+E37+E31+E18</f>
        <v>206153472.61440021</v>
      </c>
      <c r="F56" s="709">
        <f t="shared" si="9"/>
        <v>166077078.37000027</v>
      </c>
      <c r="G56" s="709">
        <f t="shared" si="9"/>
        <v>166399102.27600032</v>
      </c>
      <c r="H56" s="709">
        <f t="shared" si="9"/>
        <v>163863656.97600034</v>
      </c>
      <c r="I56" s="708">
        <f t="shared" si="9"/>
        <v>36619</v>
      </c>
      <c r="J56" s="708">
        <f t="shared" si="9"/>
        <v>1443</v>
      </c>
      <c r="K56" s="710">
        <f>+K55+K51+K41+K37+K31+K18</f>
        <v>245027411.2016663</v>
      </c>
      <c r="L56" s="710">
        <f t="shared" ref="L56:N56" si="10">+L55+L51+L41+L37+L31+L18</f>
        <v>27483428.789999999</v>
      </c>
      <c r="M56" s="710">
        <f t="shared" si="10"/>
        <v>7501199.04</v>
      </c>
      <c r="N56" s="710">
        <f t="shared" si="10"/>
        <v>83933796.450000003</v>
      </c>
      <c r="O56" s="711">
        <f>+N56/K56</f>
        <v>0.34254859910722191</v>
      </c>
    </row>
    <row r="57" spans="1:20" s="676" customFormat="1" ht="103.5" customHeight="1" x14ac:dyDescent="0.25">
      <c r="A57" s="1049" t="s">
        <v>852</v>
      </c>
      <c r="B57" s="1049"/>
      <c r="C57" s="1049"/>
      <c r="D57" s="1049"/>
      <c r="E57" s="1049"/>
      <c r="F57" s="1049"/>
      <c r="G57" s="1049"/>
      <c r="H57" s="1049"/>
      <c r="I57" s="1049"/>
      <c r="J57" s="1049"/>
      <c r="K57" s="1049"/>
      <c r="L57" s="1049"/>
      <c r="M57" s="1049"/>
      <c r="N57" s="1049"/>
      <c r="O57" s="1049"/>
      <c r="P57" s="712"/>
      <c r="Q57" s="712"/>
      <c r="R57" s="712"/>
      <c r="S57" s="712"/>
    </row>
    <row r="58" spans="1:20" s="5" customFormat="1" ht="11.25" x14ac:dyDescent="0.2">
      <c r="C58" s="659"/>
      <c r="D58" s="659"/>
      <c r="E58" s="659"/>
      <c r="F58" s="659"/>
      <c r="J58" s="389"/>
      <c r="K58" s="659"/>
      <c r="L58" s="659"/>
      <c r="M58" s="659"/>
      <c r="N58" s="659"/>
      <c r="O58" s="713"/>
    </row>
    <row r="59" spans="1:20" s="5" customFormat="1" ht="39" customHeight="1" x14ac:dyDescent="0.2">
      <c r="A59" s="988" t="s">
        <v>819</v>
      </c>
      <c r="B59" s="988"/>
      <c r="C59" s="988"/>
      <c r="D59" s="988"/>
      <c r="E59" s="988"/>
      <c r="F59" s="988"/>
      <c r="G59" s="988"/>
      <c r="H59" s="988"/>
      <c r="I59" s="988"/>
      <c r="J59" s="988"/>
      <c r="K59" s="988"/>
      <c r="L59" s="988"/>
      <c r="M59" s="988"/>
      <c r="N59" s="988"/>
      <c r="O59" s="988"/>
      <c r="P59" s="714"/>
      <c r="Q59" s="715"/>
      <c r="R59" s="715"/>
      <c r="S59" s="715"/>
      <c r="T59" s="677"/>
    </row>
    <row r="60" spans="1:20" x14ac:dyDescent="0.25">
      <c r="D60" s="50"/>
      <c r="E60" s="50"/>
      <c r="F60" s="50"/>
      <c r="I60" s="50"/>
      <c r="J60" s="50"/>
    </row>
    <row r="61" spans="1:20" x14ac:dyDescent="0.25">
      <c r="D61" s="50"/>
      <c r="E61" s="50"/>
      <c r="F61" s="50"/>
      <c r="I61" s="50"/>
      <c r="J61" s="50"/>
    </row>
    <row r="62" spans="1:20" x14ac:dyDescent="0.25">
      <c r="I62" s="50"/>
    </row>
    <row r="65" spans="4:15" x14ac:dyDescent="0.25">
      <c r="D65" s="50"/>
      <c r="E65" s="50"/>
      <c r="F65" s="50"/>
      <c r="I65" s="50"/>
      <c r="J65" s="50"/>
      <c r="K65" s="50"/>
      <c r="L65" s="50"/>
      <c r="M65" s="50"/>
      <c r="N65" s="50"/>
      <c r="O65" s="50"/>
    </row>
  </sheetData>
  <mergeCells count="57">
    <mergeCell ref="A1:O1"/>
    <mergeCell ref="A2:A4"/>
    <mergeCell ref="B2:B4"/>
    <mergeCell ref="C2:C4"/>
    <mergeCell ref="D2:J3"/>
    <mergeCell ref="K2:O3"/>
    <mergeCell ref="A19:A31"/>
    <mergeCell ref="A32:A37"/>
    <mergeCell ref="N6:N17"/>
    <mergeCell ref="O6:O17"/>
    <mergeCell ref="B8:B14"/>
    <mergeCell ref="B15:B17"/>
    <mergeCell ref="L15:L16"/>
    <mergeCell ref="A6:A18"/>
    <mergeCell ref="B6:B7"/>
    <mergeCell ref="D6:J7"/>
    <mergeCell ref="K6:K17"/>
    <mergeCell ref="B18:C18"/>
    <mergeCell ref="N19:N30"/>
    <mergeCell ref="O19:O30"/>
    <mergeCell ref="B21:B26"/>
    <mergeCell ref="B27:B30"/>
    <mergeCell ref="B37:C37"/>
    <mergeCell ref="D37:J37"/>
    <mergeCell ref="B19:B20"/>
    <mergeCell ref="D19:J20"/>
    <mergeCell ref="B31:C31"/>
    <mergeCell ref="B32:B36"/>
    <mergeCell ref="D32:J36"/>
    <mergeCell ref="N32:N36"/>
    <mergeCell ref="O32:O36"/>
    <mergeCell ref="K32:K36"/>
    <mergeCell ref="K19:K30"/>
    <mergeCell ref="O42:O50"/>
    <mergeCell ref="B48:B50"/>
    <mergeCell ref="B51:C51"/>
    <mergeCell ref="A38:A41"/>
    <mergeCell ref="B38:B40"/>
    <mergeCell ref="K38:K40"/>
    <mergeCell ref="N38:N40"/>
    <mergeCell ref="O38:O40"/>
    <mergeCell ref="B41:C41"/>
    <mergeCell ref="A42:A51"/>
    <mergeCell ref="B42:B47"/>
    <mergeCell ref="D42:J47"/>
    <mergeCell ref="K42:K50"/>
    <mergeCell ref="N42:N50"/>
    <mergeCell ref="A56:C56"/>
    <mergeCell ref="A57:O57"/>
    <mergeCell ref="A59:O59"/>
    <mergeCell ref="A52:A55"/>
    <mergeCell ref="B52:B54"/>
    <mergeCell ref="K52:K54"/>
    <mergeCell ref="M52:M54"/>
    <mergeCell ref="N52:N54"/>
    <mergeCell ref="O52:O54"/>
    <mergeCell ref="B55:C55"/>
  </mergeCells>
  <pageMargins left="0.70866141732283472" right="0.70866141732283472" top="0.74803149606299213" bottom="0.74803149606299213" header="0.31496062992125984" footer="0.31496062992125984"/>
  <pageSetup paperSize="9" scale="5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11"/>
  <sheetViews>
    <sheetView view="pageBreakPreview" zoomScaleNormal="100" zoomScaleSheetLayoutView="100" workbookViewId="0">
      <selection activeCell="K2" sqref="K2:AA5"/>
    </sheetView>
  </sheetViews>
  <sheetFormatPr defaultColWidth="8.7109375" defaultRowHeight="15" x14ac:dyDescent="0.25"/>
  <cols>
    <col min="1" max="1" width="13.7109375" customWidth="1"/>
    <col min="2" max="2" width="7" customWidth="1"/>
    <col min="3" max="3" width="7.7109375" customWidth="1"/>
    <col min="4" max="4" width="9.85546875" customWidth="1"/>
    <col min="5" max="5" width="3.28515625" bestFit="1" customWidth="1"/>
    <col min="6" max="6" width="8.140625" customWidth="1"/>
    <col min="7" max="7" width="4.140625" bestFit="1" customWidth="1"/>
    <col min="8" max="8" width="8.85546875" bestFit="1" customWidth="1"/>
    <col min="9" max="9" width="3.28515625" bestFit="1" customWidth="1"/>
    <col min="10" max="10" width="7.42578125" customWidth="1"/>
    <col min="11" max="12" width="3.28515625" bestFit="1" customWidth="1"/>
    <col min="13" max="13" width="7.5703125" customWidth="1"/>
    <col min="14" max="14" width="3.28515625" bestFit="1" customWidth="1"/>
    <col min="15" max="15" width="8.85546875" bestFit="1" customWidth="1"/>
    <col min="16" max="17" width="8.85546875" customWidth="1"/>
    <col min="18" max="18" width="3.28515625" bestFit="1" customWidth="1"/>
    <col min="19" max="19" width="8.5703125" customWidth="1"/>
    <col min="20" max="20" width="3.28515625" bestFit="1" customWidth="1"/>
    <col min="21" max="21" width="6.5703125" customWidth="1"/>
    <col min="22" max="22" width="3.140625" bestFit="1" customWidth="1"/>
    <col min="24" max="24" width="3.140625" bestFit="1" customWidth="1"/>
    <col min="26" max="26" width="3.140625" bestFit="1" customWidth="1"/>
  </cols>
  <sheetData>
    <row r="1" spans="1:27" x14ac:dyDescent="0.25">
      <c r="A1" s="1090" t="s">
        <v>665</v>
      </c>
      <c r="B1" s="1090"/>
      <c r="C1" s="1090"/>
      <c r="D1" s="1090"/>
      <c r="E1" s="1090"/>
      <c r="F1" s="1090"/>
      <c r="G1" s="1090"/>
      <c r="H1" s="1090"/>
      <c r="I1" s="1090"/>
      <c r="J1" s="1090"/>
      <c r="K1" s="1090"/>
      <c r="L1" s="1090"/>
      <c r="M1" s="1090"/>
      <c r="N1" s="1090"/>
      <c r="O1" s="1090"/>
      <c r="P1" s="1090"/>
      <c r="Q1" s="1090"/>
      <c r="R1" s="1090"/>
      <c r="S1" s="1090"/>
      <c r="T1" s="1090"/>
    </row>
    <row r="2" spans="1:27" s="12" customFormat="1" ht="28.9" customHeight="1" x14ac:dyDescent="0.2">
      <c r="A2" s="943" t="s">
        <v>156</v>
      </c>
      <c r="B2" s="943" t="s">
        <v>282</v>
      </c>
      <c r="C2" s="943" t="s">
        <v>157</v>
      </c>
      <c r="D2" s="943" t="s">
        <v>158</v>
      </c>
      <c r="E2" s="937" t="s">
        <v>337</v>
      </c>
      <c r="F2" s="938"/>
      <c r="G2" s="937" t="s">
        <v>277</v>
      </c>
      <c r="H2" s="938"/>
      <c r="I2" s="937" t="s">
        <v>159</v>
      </c>
      <c r="J2" s="938"/>
      <c r="K2" s="947" t="s">
        <v>749</v>
      </c>
      <c r="L2" s="948"/>
      <c r="M2" s="948"/>
      <c r="N2" s="948"/>
      <c r="O2" s="949"/>
      <c r="P2" s="943" t="s">
        <v>250</v>
      </c>
      <c r="Q2" s="943" t="s">
        <v>625</v>
      </c>
      <c r="R2" s="937" t="s">
        <v>750</v>
      </c>
      <c r="S2" s="938"/>
      <c r="T2" s="937" t="s">
        <v>751</v>
      </c>
      <c r="U2" s="938"/>
      <c r="V2" s="936" t="s">
        <v>751</v>
      </c>
      <c r="W2" s="936"/>
      <c r="X2" s="936"/>
      <c r="Y2" s="936"/>
      <c r="Z2" s="936"/>
      <c r="AA2" s="936"/>
    </row>
    <row r="3" spans="1:27"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7"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7"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7" s="23" customFormat="1" ht="55.15" customHeight="1" x14ac:dyDescent="0.25">
      <c r="A6" s="189" t="s">
        <v>311</v>
      </c>
      <c r="B6" s="145">
        <v>40822</v>
      </c>
      <c r="C6" s="159">
        <v>500000</v>
      </c>
      <c r="D6" s="148">
        <v>43918</v>
      </c>
      <c r="E6" s="39">
        <v>1</v>
      </c>
      <c r="F6" s="40">
        <v>499956</v>
      </c>
      <c r="G6" s="39">
        <v>0</v>
      </c>
      <c r="H6" s="3">
        <v>0</v>
      </c>
      <c r="I6" s="39">
        <v>0</v>
      </c>
      <c r="J6" s="3">
        <v>0</v>
      </c>
      <c r="K6" s="3">
        <v>0</v>
      </c>
      <c r="L6" s="3">
        <v>0</v>
      </c>
      <c r="M6" s="3">
        <v>0</v>
      </c>
      <c r="N6" s="39">
        <v>1</v>
      </c>
      <c r="O6" s="40">
        <v>499956</v>
      </c>
      <c r="P6" s="18">
        <v>0</v>
      </c>
      <c r="Q6" s="58">
        <f>C6-P6</f>
        <v>500000</v>
      </c>
      <c r="R6" s="3">
        <v>0</v>
      </c>
      <c r="S6" s="3">
        <v>0</v>
      </c>
      <c r="T6" s="3">
        <v>0</v>
      </c>
      <c r="U6" s="3">
        <v>0</v>
      </c>
      <c r="V6" s="22">
        <v>0</v>
      </c>
      <c r="W6" s="22">
        <v>0</v>
      </c>
      <c r="X6" s="22">
        <v>0</v>
      </c>
      <c r="Y6" s="22">
        <v>0</v>
      </c>
      <c r="Z6" s="22">
        <v>0</v>
      </c>
      <c r="AA6" s="22">
        <v>0</v>
      </c>
    </row>
    <row r="7" spans="1:27" x14ac:dyDescent="0.25">
      <c r="A7" s="19" t="s">
        <v>312</v>
      </c>
      <c r="B7" s="59"/>
      <c r="C7" s="20">
        <f>SUM(C6:C6)</f>
        <v>500000</v>
      </c>
      <c r="D7" s="20"/>
      <c r="E7" s="20">
        <f t="shared" ref="E7:AA7" si="0">SUM(E6:E6)</f>
        <v>1</v>
      </c>
      <c r="F7" s="20">
        <f t="shared" si="0"/>
        <v>499956</v>
      </c>
      <c r="G7" s="20">
        <f t="shared" si="0"/>
        <v>0</v>
      </c>
      <c r="H7" s="20">
        <f t="shared" si="0"/>
        <v>0</v>
      </c>
      <c r="I7" s="20">
        <f t="shared" si="0"/>
        <v>0</v>
      </c>
      <c r="J7" s="20">
        <f t="shared" si="0"/>
        <v>0</v>
      </c>
      <c r="K7" s="20">
        <f t="shared" si="0"/>
        <v>0</v>
      </c>
      <c r="L7" s="20">
        <f t="shared" si="0"/>
        <v>0</v>
      </c>
      <c r="M7" s="20">
        <f t="shared" si="0"/>
        <v>0</v>
      </c>
      <c r="N7" s="20">
        <f t="shared" si="0"/>
        <v>1</v>
      </c>
      <c r="O7" s="20">
        <f t="shared" si="0"/>
        <v>499956</v>
      </c>
      <c r="P7" s="20">
        <f t="shared" si="0"/>
        <v>0</v>
      </c>
      <c r="Q7" s="20">
        <f t="shared" si="0"/>
        <v>500000</v>
      </c>
      <c r="R7" s="20">
        <f t="shared" si="0"/>
        <v>0</v>
      </c>
      <c r="S7" s="20">
        <f t="shared" si="0"/>
        <v>0</v>
      </c>
      <c r="T7" s="20">
        <f t="shared" si="0"/>
        <v>0</v>
      </c>
      <c r="U7" s="20">
        <f t="shared" si="0"/>
        <v>0</v>
      </c>
      <c r="V7" s="20">
        <f t="shared" si="0"/>
        <v>0</v>
      </c>
      <c r="W7" s="20">
        <f t="shared" si="0"/>
        <v>0</v>
      </c>
      <c r="X7" s="20">
        <f t="shared" si="0"/>
        <v>0</v>
      </c>
      <c r="Y7" s="20">
        <f t="shared" si="0"/>
        <v>0</v>
      </c>
      <c r="Z7" s="20">
        <f t="shared" si="0"/>
        <v>0</v>
      </c>
      <c r="AA7" s="20">
        <f t="shared" si="0"/>
        <v>0</v>
      </c>
    </row>
    <row r="8" spans="1:27" ht="15" customHeight="1" x14ac:dyDescent="0.25">
      <c r="A8" s="210" t="s">
        <v>390</v>
      </c>
      <c r="B8" s="134"/>
      <c r="C8" s="134"/>
      <c r="D8" s="134"/>
      <c r="E8" s="134"/>
      <c r="F8" s="134"/>
      <c r="G8" s="134"/>
      <c r="H8" s="134"/>
      <c r="I8" s="134"/>
      <c r="J8" s="134"/>
      <c r="K8" s="134"/>
      <c r="L8" s="134"/>
      <c r="M8" s="134"/>
      <c r="N8" s="134"/>
      <c r="O8" s="134"/>
      <c r="P8" s="134"/>
      <c r="Q8" s="134"/>
      <c r="R8" s="134"/>
      <c r="S8" s="134"/>
      <c r="X8" s="12"/>
    </row>
    <row r="9" spans="1:27" s="23" customFormat="1" ht="18.600000000000001" customHeight="1" x14ac:dyDescent="0.25">
      <c r="A9" s="935" t="s">
        <v>744</v>
      </c>
      <c r="B9" s="935"/>
      <c r="C9" s="935"/>
      <c r="D9" s="935"/>
      <c r="E9" s="935"/>
      <c r="F9" s="935"/>
      <c r="G9" s="935"/>
      <c r="H9" s="935"/>
      <c r="I9" s="935"/>
      <c r="J9" s="935"/>
      <c r="K9" s="935"/>
      <c r="L9" s="935"/>
      <c r="M9" s="935"/>
      <c r="N9" s="935"/>
      <c r="O9" s="935"/>
      <c r="P9" s="935"/>
      <c r="Q9" s="935"/>
      <c r="R9" s="935"/>
      <c r="S9" s="935"/>
      <c r="T9" s="935"/>
      <c r="U9" s="935"/>
      <c r="V9" s="935"/>
      <c r="W9" s="935"/>
      <c r="X9" s="935"/>
      <c r="Y9" s="935"/>
      <c r="Z9" s="935"/>
      <c r="AA9" s="935"/>
    </row>
    <row r="10" spans="1:27" x14ac:dyDescent="0.25">
      <c r="A10" s="12"/>
      <c r="B10" s="12"/>
      <c r="X10" s="12"/>
    </row>
    <row r="11" spans="1:27" x14ac:dyDescent="0.25">
      <c r="X11" s="12"/>
    </row>
  </sheetData>
  <mergeCells count="22">
    <mergeCell ref="A9:AA9"/>
    <mergeCell ref="C2:C5"/>
    <mergeCell ref="D2:D5"/>
    <mergeCell ref="E2:F4"/>
    <mergeCell ref="G2:H4"/>
    <mergeCell ref="Q2:Q4"/>
    <mergeCell ref="V2:AA3"/>
    <mergeCell ref="V4:W4"/>
    <mergeCell ref="X4:Y4"/>
    <mergeCell ref="Z4:AA4"/>
    <mergeCell ref="A1:T1"/>
    <mergeCell ref="I2:J4"/>
    <mergeCell ref="K2:O2"/>
    <mergeCell ref="P2:P4"/>
    <mergeCell ref="R2:S4"/>
    <mergeCell ref="T2:U4"/>
    <mergeCell ref="K3:M3"/>
    <mergeCell ref="N3:O4"/>
    <mergeCell ref="K4:K5"/>
    <mergeCell ref="L4:M4"/>
    <mergeCell ref="A2:A5"/>
    <mergeCell ref="B2:B5"/>
  </mergeCell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20562-21D9-4055-A205-1BFE586A8F39}">
  <sheetPr>
    <pageSetUpPr fitToPage="1"/>
  </sheetPr>
  <dimension ref="A1:S23"/>
  <sheetViews>
    <sheetView view="pageBreakPreview" zoomScaleNormal="100" zoomScaleSheetLayoutView="100" workbookViewId="0">
      <selection activeCell="H14" sqref="H14"/>
    </sheetView>
  </sheetViews>
  <sheetFormatPr defaultColWidth="32" defaultRowHeight="11.25" x14ac:dyDescent="0.2"/>
  <cols>
    <col min="1" max="1" width="13.7109375" style="5" customWidth="1"/>
    <col min="2" max="3" width="12.5703125" style="659" customWidth="1"/>
    <col min="4" max="4" width="13.85546875" style="659" customWidth="1"/>
    <col min="5" max="5" width="12.28515625" style="5" customWidth="1"/>
    <col min="6" max="6" width="10.5703125" style="5" customWidth="1"/>
    <col min="7" max="7" width="14.7109375" style="5" customWidth="1"/>
    <col min="8" max="8" width="12.85546875" style="5" customWidth="1"/>
    <col min="9" max="9" width="13.42578125" style="5" customWidth="1"/>
    <col min="10" max="11" width="14.140625" style="5" customWidth="1"/>
    <col min="12" max="12" width="16.7109375" style="5" customWidth="1"/>
    <col min="13" max="13" width="11.7109375" style="5" customWidth="1"/>
    <col min="14" max="14" width="12.42578125" style="5" customWidth="1"/>
    <col min="15" max="15" width="13.5703125" style="5" customWidth="1"/>
    <col min="16" max="16" width="13.5703125" style="660" customWidth="1"/>
    <col min="17" max="18" width="13.5703125" style="5" customWidth="1"/>
    <col min="19" max="19" width="12.85546875" style="5" customWidth="1"/>
    <col min="20" max="16384" width="32" style="5"/>
  </cols>
  <sheetData>
    <row r="1" spans="1:19" ht="15.75" customHeight="1" x14ac:dyDescent="0.25">
      <c r="A1" s="1021" t="s">
        <v>853</v>
      </c>
      <c r="B1" s="1021"/>
      <c r="C1" s="1021"/>
      <c r="D1" s="1021"/>
      <c r="E1" s="1021"/>
      <c r="F1" s="1021"/>
      <c r="G1" s="1021"/>
      <c r="H1" s="1021"/>
      <c r="I1" s="1021"/>
      <c r="J1" s="1021"/>
      <c r="K1" s="1021"/>
      <c r="L1" s="1021"/>
      <c r="M1" s="1021"/>
      <c r="N1" s="1021"/>
      <c r="O1" s="1021"/>
      <c r="P1" s="1021"/>
    </row>
    <row r="2" spans="1:19" ht="21" customHeight="1" x14ac:dyDescent="0.2">
      <c r="A2" s="1016" t="s">
        <v>773</v>
      </c>
      <c r="B2" s="1023" t="s">
        <v>854</v>
      </c>
      <c r="C2" s="1024"/>
      <c r="D2" s="1016" t="s">
        <v>855</v>
      </c>
      <c r="E2" s="1016" t="s">
        <v>776</v>
      </c>
      <c r="F2" s="1040" t="s">
        <v>777</v>
      </c>
      <c r="G2" s="1041"/>
      <c r="H2" s="1044" t="s">
        <v>669</v>
      </c>
      <c r="I2" s="1040"/>
      <c r="J2" s="1040"/>
      <c r="K2" s="1040"/>
      <c r="L2" s="1040"/>
      <c r="M2" s="1040"/>
      <c r="N2" s="1041"/>
      <c r="O2" s="1013" t="s">
        <v>778</v>
      </c>
      <c r="P2" s="1013"/>
      <c r="Q2" s="1013"/>
      <c r="R2" s="1013"/>
      <c r="S2" s="1013" t="s">
        <v>779</v>
      </c>
    </row>
    <row r="3" spans="1:19" ht="25.5" customHeight="1" x14ac:dyDescent="0.2">
      <c r="A3" s="1022"/>
      <c r="B3" s="1101"/>
      <c r="C3" s="1102"/>
      <c r="D3" s="1022"/>
      <c r="E3" s="1022"/>
      <c r="F3" s="1042"/>
      <c r="G3" s="1043"/>
      <c r="H3" s="1045"/>
      <c r="I3" s="1042"/>
      <c r="J3" s="1042"/>
      <c r="K3" s="1042"/>
      <c r="L3" s="1042"/>
      <c r="M3" s="1042"/>
      <c r="N3" s="1043"/>
      <c r="O3" s="1013"/>
      <c r="P3" s="1013"/>
      <c r="Q3" s="1013"/>
      <c r="R3" s="1013"/>
      <c r="S3" s="1013"/>
    </row>
    <row r="4" spans="1:19" s="639" customFormat="1" ht="15.75" customHeight="1" x14ac:dyDescent="0.25">
      <c r="A4" s="1022"/>
      <c r="B4" s="1025"/>
      <c r="C4" s="1026"/>
      <c r="D4" s="1022"/>
      <c r="E4" s="1022"/>
      <c r="F4" s="1016" t="s">
        <v>782</v>
      </c>
      <c r="G4" s="1016" t="s">
        <v>856</v>
      </c>
      <c r="H4" s="1016" t="s">
        <v>803</v>
      </c>
      <c r="I4" s="1016" t="s">
        <v>804</v>
      </c>
      <c r="J4" s="1016" t="s">
        <v>857</v>
      </c>
      <c r="K4" s="1016" t="s">
        <v>806</v>
      </c>
      <c r="L4" s="1016" t="s">
        <v>807</v>
      </c>
      <c r="M4" s="1016" t="s">
        <v>808</v>
      </c>
      <c r="N4" s="1016" t="s">
        <v>809</v>
      </c>
      <c r="O4" s="1013" t="s">
        <v>810</v>
      </c>
      <c r="P4" s="1013"/>
      <c r="Q4" s="1013"/>
      <c r="R4" s="1013" t="s">
        <v>781</v>
      </c>
      <c r="S4" s="1013"/>
    </row>
    <row r="5" spans="1:19" s="639" customFormat="1" ht="31.5" customHeight="1" x14ac:dyDescent="0.25">
      <c r="A5" s="1017"/>
      <c r="B5" s="661" t="s">
        <v>895</v>
      </c>
      <c r="C5" s="661" t="s">
        <v>781</v>
      </c>
      <c r="D5" s="1017"/>
      <c r="E5" s="1017"/>
      <c r="F5" s="1017"/>
      <c r="G5" s="1017"/>
      <c r="H5" s="1017"/>
      <c r="I5" s="1017"/>
      <c r="J5" s="1017"/>
      <c r="K5" s="1017"/>
      <c r="L5" s="1017"/>
      <c r="M5" s="1017"/>
      <c r="N5" s="1017"/>
      <c r="O5" s="638" t="s">
        <v>1</v>
      </c>
      <c r="P5" s="638" t="s">
        <v>2</v>
      </c>
      <c r="Q5" s="640" t="s">
        <v>787</v>
      </c>
      <c r="R5" s="1013"/>
      <c r="S5" s="1013"/>
    </row>
    <row r="6" spans="1:19" s="639" customFormat="1" x14ac:dyDescent="0.25">
      <c r="A6" s="641" t="s">
        <v>305</v>
      </c>
      <c r="B6" s="643" t="s">
        <v>306</v>
      </c>
      <c r="C6" s="641" t="s">
        <v>307</v>
      </c>
      <c r="D6" s="643" t="s">
        <v>308</v>
      </c>
      <c r="E6" s="641" t="s">
        <v>309</v>
      </c>
      <c r="F6" s="643" t="s">
        <v>515</v>
      </c>
      <c r="G6" s="641" t="s">
        <v>637</v>
      </c>
      <c r="H6" s="643" t="s">
        <v>310</v>
      </c>
      <c r="I6" s="643" t="s">
        <v>788</v>
      </c>
      <c r="J6" s="643" t="s">
        <v>516</v>
      </c>
      <c r="K6" s="641" t="s">
        <v>705</v>
      </c>
      <c r="L6" s="643" t="s">
        <v>696</v>
      </c>
      <c r="M6" s="643" t="s">
        <v>789</v>
      </c>
      <c r="N6" s="643" t="s">
        <v>706</v>
      </c>
      <c r="O6" s="643" t="s">
        <v>791</v>
      </c>
      <c r="P6" s="643" t="s">
        <v>792</v>
      </c>
      <c r="Q6" s="643" t="s">
        <v>858</v>
      </c>
      <c r="R6" s="643" t="s">
        <v>859</v>
      </c>
      <c r="S6" s="643" t="s">
        <v>815</v>
      </c>
    </row>
    <row r="7" spans="1:19" ht="18.75" customHeight="1" x14ac:dyDescent="0.2">
      <c r="A7" s="992" t="s">
        <v>396</v>
      </c>
      <c r="B7" s="995">
        <v>95737662.900000006</v>
      </c>
      <c r="C7" s="995">
        <v>45951759</v>
      </c>
      <c r="D7" s="1099">
        <f>+G16+K16</f>
        <v>97047954.128000006</v>
      </c>
      <c r="E7" s="644" t="s">
        <v>794</v>
      </c>
      <c r="F7" s="644">
        <v>158</v>
      </c>
      <c r="G7" s="656">
        <v>814206.27148097381</v>
      </c>
      <c r="H7" s="1038"/>
      <c r="I7" s="1038"/>
      <c r="J7" s="1038"/>
      <c r="K7" s="1038"/>
      <c r="L7" s="1038"/>
      <c r="M7" s="1038"/>
      <c r="N7" s="1038"/>
      <c r="O7" s="1091">
        <f>+'Dettaglio M11 x bando'!K40</f>
        <v>95664735.766666695</v>
      </c>
      <c r="P7" s="1091">
        <f>+'Dettaglio M11 x bando'!L40</f>
        <v>22333621.170000002</v>
      </c>
      <c r="Q7" s="1093">
        <f>+P7/O7</f>
        <v>0.23345719810979609</v>
      </c>
      <c r="R7" s="1091">
        <v>45955631.520000003</v>
      </c>
      <c r="S7" s="1091">
        <f>+C7-R7</f>
        <v>-3872.5200000032783</v>
      </c>
    </row>
    <row r="8" spans="1:19" ht="15" customHeight="1" x14ac:dyDescent="0.2">
      <c r="A8" s="993"/>
      <c r="B8" s="996"/>
      <c r="C8" s="996"/>
      <c r="D8" s="1100"/>
      <c r="E8" s="644">
        <v>2015</v>
      </c>
      <c r="F8" s="651">
        <v>1662</v>
      </c>
      <c r="G8" s="656">
        <v>8536904.265459476</v>
      </c>
      <c r="H8" s="1038"/>
      <c r="I8" s="1038"/>
      <c r="J8" s="1038"/>
      <c r="K8" s="1038"/>
      <c r="L8" s="1038"/>
      <c r="M8" s="1038"/>
      <c r="N8" s="1038"/>
      <c r="O8" s="1092"/>
      <c r="P8" s="1092"/>
      <c r="Q8" s="1094"/>
      <c r="R8" s="1092"/>
      <c r="S8" s="1092"/>
    </row>
    <row r="9" spans="1:19" ht="15" customHeight="1" x14ac:dyDescent="0.2">
      <c r="A9" s="993"/>
      <c r="B9" s="996"/>
      <c r="C9" s="996"/>
      <c r="D9" s="1100"/>
      <c r="E9" s="644">
        <v>2016</v>
      </c>
      <c r="F9" s="651">
        <v>1136</v>
      </c>
      <c r="G9" s="656">
        <v>6247596.8272952037</v>
      </c>
      <c r="H9" s="667">
        <f>+'Dettaglio M11 x bando'!D8</f>
        <v>596</v>
      </c>
      <c r="I9" s="361">
        <f>+'Dettaglio M11 x bando'!E8</f>
        <v>3309825.2799999979</v>
      </c>
      <c r="J9" s="361">
        <f>+'Dettaglio M11 x bando'!F8</f>
        <v>2270030.4700000002</v>
      </c>
      <c r="K9" s="361">
        <f>+'Dettaglio M11 x bando'!G8</f>
        <v>2304939.1500000008</v>
      </c>
      <c r="L9" s="361">
        <f>+'Dettaglio M11 x bando'!H8</f>
        <v>2305632.3600000008</v>
      </c>
      <c r="M9" s="667">
        <f>+'Dettaglio M11 x bando'!I8</f>
        <v>467</v>
      </c>
      <c r="N9" s="667">
        <f>+'Dettaglio M11 x bando'!J8</f>
        <v>12</v>
      </c>
      <c r="O9" s="1092"/>
      <c r="P9" s="1092"/>
      <c r="Q9" s="1094"/>
      <c r="R9" s="1092"/>
      <c r="S9" s="1092"/>
    </row>
    <row r="10" spans="1:19" ht="15" customHeight="1" x14ac:dyDescent="0.2">
      <c r="A10" s="993"/>
      <c r="B10" s="996"/>
      <c r="C10" s="996"/>
      <c r="D10" s="1100"/>
      <c r="E10" s="644">
        <v>2017</v>
      </c>
      <c r="F10" s="651">
        <v>1034</v>
      </c>
      <c r="G10" s="656">
        <v>5750812.3220866909</v>
      </c>
      <c r="H10" s="667">
        <f>+'Dettaglio M11 x bando'!D9+'Dettaglio M11 x bando'!D14</f>
        <v>634</v>
      </c>
      <c r="I10" s="361">
        <f>+'Dettaglio M11 x bando'!E9+'Dettaglio M11 x bando'!E14</f>
        <v>3309603.7163999993</v>
      </c>
      <c r="J10" s="361">
        <f>+'Dettaglio M11 x bando'!F9+'Dettaglio M11 x bando'!F14</f>
        <v>2294447.85</v>
      </c>
      <c r="K10" s="361">
        <f>+'Dettaglio M11 x bando'!G9+'Dettaglio M11 x bando'!G14</f>
        <v>2307976.58</v>
      </c>
      <c r="L10" s="361">
        <f>+'Dettaglio M11 x bando'!H9+'Dettaglio M11 x bando'!H14</f>
        <v>2312888.38</v>
      </c>
      <c r="M10" s="667">
        <f>+'Dettaglio M11 x bando'!I9+'Dettaglio M11 x bando'!I14</f>
        <v>508</v>
      </c>
      <c r="N10" s="667">
        <f>+'Dettaglio M11 x bando'!J9+'Dettaglio M11 x bando'!J14</f>
        <v>16</v>
      </c>
      <c r="O10" s="1092"/>
      <c r="P10" s="1092"/>
      <c r="Q10" s="1094"/>
      <c r="R10" s="1092"/>
      <c r="S10" s="1092"/>
    </row>
    <row r="11" spans="1:19" ht="15" customHeight="1" x14ac:dyDescent="0.2">
      <c r="A11" s="993"/>
      <c r="B11" s="996"/>
      <c r="C11" s="996"/>
      <c r="D11" s="1100"/>
      <c r="E11" s="644">
        <v>2018</v>
      </c>
      <c r="F11" s="651">
        <v>251</v>
      </c>
      <c r="G11" s="656">
        <v>1150480.3136776562</v>
      </c>
      <c r="H11" s="667">
        <f>+'Dettaglio M11 x bando'!D10+'Dettaglio M11 x bando'!D15+'Dettaglio M11 x bando'!D20</f>
        <v>1383</v>
      </c>
      <c r="I11" s="361">
        <f>+'Dettaglio M11 x bando'!E10+'Dettaglio M11 x bando'!E15+'Dettaglio M11 x bando'!E20</f>
        <v>10970065.663599998</v>
      </c>
      <c r="J11" s="361">
        <f>+'Dettaglio M11 x bando'!F10+'Dettaglio M11 x bando'!F15+'Dettaglio M11 x bando'!F20</f>
        <v>8718773.5199999921</v>
      </c>
      <c r="K11" s="361">
        <f>+'Dettaglio M11 x bando'!G10+'Dettaglio M11 x bando'!G15+'Dettaglio M11 x bando'!G20</f>
        <v>8717166.9199999925</v>
      </c>
      <c r="L11" s="361">
        <f>+'Dettaglio M11 x bando'!H10+'Dettaglio M11 x bando'!H15+'Dettaglio M11 x bando'!H20</f>
        <v>8743876.2099999934</v>
      </c>
      <c r="M11" s="667">
        <f>+'Dettaglio M11 x bando'!I10+'Dettaglio M11 x bando'!I15+'Dettaglio M11 x bando'!I20</f>
        <v>1210</v>
      </c>
      <c r="N11" s="667">
        <f>+'Dettaglio M11 x bando'!J10+'Dettaglio M11 x bando'!J15+'Dettaglio M11 x bando'!J20</f>
        <v>32</v>
      </c>
      <c r="O11" s="1092"/>
      <c r="P11" s="1092"/>
      <c r="Q11" s="1094"/>
      <c r="R11" s="1092"/>
      <c r="S11" s="1092"/>
    </row>
    <row r="12" spans="1:19" ht="15" customHeight="1" x14ac:dyDescent="0.2">
      <c r="A12" s="993"/>
      <c r="B12" s="996"/>
      <c r="C12" s="996"/>
      <c r="D12" s="1100"/>
      <c r="E12" s="644">
        <v>2019</v>
      </c>
      <c r="F12" s="1095"/>
      <c r="G12" s="1096"/>
      <c r="H12" s="667">
        <f>+'Dettaglio M11 x bando'!D11+'Dettaglio M11 x bando'!D16+'Dettaglio M11 x bando'!D21+'Dettaglio M11 x bando'!D26</f>
        <v>1617</v>
      </c>
      <c r="I12" s="361">
        <f>+'Dettaglio M11 x bando'!E11+'Dettaglio M11 x bando'!E16+'Dettaglio M11 x bando'!E21+'Dettaglio M11 x bando'!E26</f>
        <v>13965479.914499998</v>
      </c>
      <c r="J12" s="361">
        <f>+'Dettaglio M11 x bando'!F11+'Dettaglio M11 x bando'!F16+'Dettaglio M11 x bando'!F21+'Dettaglio M11 x bando'!F26</f>
        <v>11750206.149999999</v>
      </c>
      <c r="K12" s="361">
        <f>+'Dettaglio M11 x bando'!G11+'Dettaglio M11 x bando'!G16+'Dettaglio M11 x bando'!G21+'Dettaglio M11 x bando'!G26</f>
        <v>11810996.5</v>
      </c>
      <c r="L12" s="361">
        <f>+'Dettaglio M11 x bando'!H11+'Dettaglio M11 x bando'!H16+'Dettaglio M11 x bando'!H21+'Dettaglio M11 x bando'!H26</f>
        <v>11836019.510000002</v>
      </c>
      <c r="M12" s="667">
        <f>+'Dettaglio M11 x bando'!I11+'Dettaglio M11 x bando'!I16+'Dettaglio M11 x bando'!I21+'Dettaglio M11 x bando'!I26</f>
        <v>1498</v>
      </c>
      <c r="N12" s="667">
        <f>+'Dettaglio M11 x bando'!J11+'Dettaglio M11 x bando'!J16+'Dettaglio M11 x bando'!J21+'Dettaglio M11 x bando'!J26</f>
        <v>26</v>
      </c>
      <c r="O12" s="1092"/>
      <c r="P12" s="1092"/>
      <c r="Q12" s="1094"/>
      <c r="R12" s="1092"/>
      <c r="S12" s="1092"/>
    </row>
    <row r="13" spans="1:19" ht="15" customHeight="1" x14ac:dyDescent="0.2">
      <c r="A13" s="993"/>
      <c r="B13" s="996"/>
      <c r="C13" s="996"/>
      <c r="D13" s="1100"/>
      <c r="E13" s="644">
        <v>2020</v>
      </c>
      <c r="F13" s="1097"/>
      <c r="G13" s="1098"/>
      <c r="H13" s="667">
        <f>+'Dettaglio M11 x bando'!D12+'Dettaglio M11 x bando'!D17+'Dettaglio M11 x bando'!D22+'Dettaglio M11 x bando'!D27+'Dettaglio M11 x bando'!D31</f>
        <v>1897</v>
      </c>
      <c r="I13" s="361">
        <f>+'Dettaglio M11 x bando'!E12+'Dettaglio M11 x bando'!E17+'Dettaglio M11 x bando'!E22+'Dettaglio M11 x bando'!E27+'Dettaglio M11 x bando'!E31</f>
        <v>17655479.012400001</v>
      </c>
      <c r="J13" s="361">
        <f>+'Dettaglio M11 x bando'!F12+'Dettaglio M11 x bando'!F17+'Dettaglio M11 x bando'!F22+'Dettaglio M11 x bando'!F27+'Dettaglio M11 x bando'!F31</f>
        <v>13854957.570000002</v>
      </c>
      <c r="K13" s="361">
        <f>+'Dettaglio M11 x bando'!G12+'Dettaglio M11 x bando'!G17+'Dettaglio M11 x bando'!G22+'Dettaglio M11 x bando'!G27+'Dettaglio M11 x bando'!G31</f>
        <v>14646175.038000008</v>
      </c>
      <c r="L13" s="361">
        <f>+'Dettaglio M11 x bando'!H12+'Dettaglio M11 x bando'!H17+'Dettaglio M11 x bando'!H22+'Dettaglio M11 x bando'!H27+'Dettaglio M11 x bando'!H31</f>
        <v>14691408.668000003</v>
      </c>
      <c r="M13" s="667">
        <f>+'Dettaglio M11 x bando'!I12+'Dettaglio M11 x bando'!I17+'Dettaglio M11 x bando'!I22+'Dettaglio M11 x bando'!I27+'Dettaglio M11 x bando'!I31</f>
        <v>1779</v>
      </c>
      <c r="N13" s="667">
        <f>+'Dettaglio M11 x bando'!J12+'Dettaglio M11 x bando'!J17+'Dettaglio M11 x bando'!J22+'Dettaglio M11 x bando'!J27+'Dettaglio M11 x bando'!J31</f>
        <v>27</v>
      </c>
      <c r="O13" s="1092"/>
      <c r="P13" s="1092"/>
      <c r="Q13" s="1094"/>
      <c r="R13" s="1092"/>
      <c r="S13" s="1092"/>
    </row>
    <row r="14" spans="1:19" ht="15" customHeight="1" x14ac:dyDescent="0.2">
      <c r="A14" s="993"/>
      <c r="B14" s="996"/>
      <c r="C14" s="996"/>
      <c r="D14" s="1100"/>
      <c r="E14" s="644">
        <v>2021</v>
      </c>
      <c r="F14" s="1097"/>
      <c r="G14" s="1098"/>
      <c r="H14" s="667">
        <f>+'Dettaglio M11 x bando'!D18+'Dettaglio M11 x bando'!D23+'Dettaglio M11 x bando'!D28+'Dettaglio M11 x bando'!D32+'Dettaglio M11 x bando'!D35</f>
        <v>1977</v>
      </c>
      <c r="I14" s="361">
        <f>+'Dettaglio M11 x bando'!E18+'Dettaglio M11 x bando'!E23+'Dettaglio M11 x bando'!E28+'Dettaglio M11 x bando'!E32+'Dettaglio M11 x bando'!E35</f>
        <v>17854542.610000003</v>
      </c>
      <c r="J14" s="361">
        <f>+'Dettaglio M11 x bando'!F18+'Dettaglio M11 x bando'!F23+'Dettaglio M11 x bando'!F28+'Dettaglio M11 x bando'!F32+'Dettaglio M11 x bando'!F35</f>
        <v>15733007.720000003</v>
      </c>
      <c r="K14" s="361">
        <f>+'Dettaglio M11 x bando'!G18+'Dettaglio M11 x bando'!G23+'Dettaglio M11 x bando'!G28+'Dettaglio M11 x bando'!G32+'Dettaglio M11 x bando'!G35</f>
        <v>15998799.450000003</v>
      </c>
      <c r="L14" s="361">
        <f>+'Dettaglio M11 x bando'!H18+'Dettaglio M11 x bando'!H23+'Dettaglio M11 x bando'!H28+'Dettaglio M11 x bando'!H32+'Dettaglio M11 x bando'!H35</f>
        <v>16013873.870000005</v>
      </c>
      <c r="M14" s="667">
        <f>+'Dettaglio M11 x bando'!I18+'Dettaglio M11 x bando'!I23+'Dettaglio M11 x bando'!I28+'Dettaglio M11 x bando'!I32+'Dettaglio M11 x bando'!I35</f>
        <v>1936</v>
      </c>
      <c r="N14" s="667">
        <f>+'Dettaglio M11 x bando'!J18+'Dettaglio M11 x bando'!J23+'Dettaglio M11 x bando'!J28+'Dettaglio M11 x bando'!J32+'Dettaglio M11 x bando'!J35</f>
        <v>13</v>
      </c>
      <c r="O14" s="1092"/>
      <c r="P14" s="1092"/>
      <c r="Q14" s="1094"/>
      <c r="R14" s="1092"/>
      <c r="S14" s="1092"/>
    </row>
    <row r="15" spans="1:19" ht="15" customHeight="1" x14ac:dyDescent="0.2">
      <c r="A15" s="993"/>
      <c r="B15" s="996"/>
      <c r="C15" s="997"/>
      <c r="D15" s="1100"/>
      <c r="E15" s="644">
        <v>2022</v>
      </c>
      <c r="F15" s="1097"/>
      <c r="G15" s="1098"/>
      <c r="H15" s="667">
        <f>+'Dettaglio M11 x bando'!D24+'Dettaglio M11 x bando'!D29+'Dettaglio M11 x bando'!D33+'Dettaglio M11 x bando'!D36+'Dettaglio M11 x bando'!D38</f>
        <v>2255</v>
      </c>
      <c r="I15" s="361">
        <f>+'Dettaglio M11 x bando'!E24+'Dettaglio M11 x bando'!E29+'Dettaglio M11 x bando'!E33+'Dettaglio M11 x bando'!E36+'Dettaglio M11 x bando'!E38</f>
        <v>20814564.840000004</v>
      </c>
      <c r="J15" s="361">
        <f>+'Dettaglio M11 x bando'!F24+'Dettaglio M11 x bando'!F29+'Dettaglio M11 x bando'!F33+'Dettaglio M11 x bando'!F36+'Dettaglio M11 x bando'!F38</f>
        <v>18614180.960000001</v>
      </c>
      <c r="K15" s="361">
        <f>+'Dettaglio M11 x bando'!G24+'Dettaglio M11 x bando'!G29+'Dettaglio M11 x bando'!G33+'Dettaglio M11 x bando'!G36+'Dettaglio M11 x bando'!G38</f>
        <v>18761900.490000002</v>
      </c>
      <c r="L15" s="361">
        <f>+'Dettaglio M11 x bando'!H24+'Dettaglio M11 x bando'!H29+'Dettaglio M11 x bando'!H33+'Dettaglio M11 x bando'!H36+'Dettaglio M11 x bando'!H38</f>
        <v>18807677.98</v>
      </c>
      <c r="M15" s="667">
        <f>+'Dettaglio M11 x bando'!I24+'Dettaglio M11 x bando'!I29+'Dettaglio M11 x bando'!I33+'Dettaglio M11 x bando'!I36+'Dettaglio M11 x bando'!I38</f>
        <v>2200</v>
      </c>
      <c r="N15" s="667">
        <f>+'Dettaglio M11 x bando'!J24+'Dettaglio M11 x bando'!J29+'Dettaglio M11 x bando'!J33+'Dettaglio M11 x bando'!J36+'Dettaglio M11 x bando'!J38</f>
        <v>33</v>
      </c>
      <c r="O15" s="1092"/>
      <c r="P15" s="1092"/>
      <c r="Q15" s="1094"/>
      <c r="R15" s="1092"/>
      <c r="S15" s="1092"/>
    </row>
    <row r="16" spans="1:19" ht="15.75" customHeight="1" x14ac:dyDescent="0.2">
      <c r="A16" s="670" t="s">
        <v>860</v>
      </c>
      <c r="B16" s="671">
        <f>+B7</f>
        <v>95737662.900000006</v>
      </c>
      <c r="C16" s="671">
        <f>+C7</f>
        <v>45951759</v>
      </c>
      <c r="D16" s="671">
        <f>+D7</f>
        <v>97047954.128000006</v>
      </c>
      <c r="E16" s="672"/>
      <c r="F16" s="655">
        <f>SUM(F7:F11)</f>
        <v>4241</v>
      </c>
      <c r="G16" s="673">
        <f>SUM(G7:G11)</f>
        <v>22500000.000000004</v>
      </c>
      <c r="H16" s="655">
        <f>SUM(H9:H15)</f>
        <v>10359</v>
      </c>
      <c r="I16" s="673">
        <f t="shared" ref="I16:N16" si="0">SUM(I9:I15)</f>
        <v>87879561.036899999</v>
      </c>
      <c r="J16" s="673">
        <f t="shared" si="0"/>
        <v>73235604.24000001</v>
      </c>
      <c r="K16" s="673">
        <f t="shared" si="0"/>
        <v>74547954.128000006</v>
      </c>
      <c r="L16" s="673">
        <f t="shared" si="0"/>
        <v>74711376.978</v>
      </c>
      <c r="M16" s="655">
        <f t="shared" si="0"/>
        <v>9598</v>
      </c>
      <c r="N16" s="655">
        <f t="shared" si="0"/>
        <v>159</v>
      </c>
      <c r="O16" s="673">
        <f>SUM(O7)</f>
        <v>95664735.766666695</v>
      </c>
      <c r="P16" s="673">
        <f>SUM(P7)</f>
        <v>22333621.170000002</v>
      </c>
      <c r="Q16" s="719">
        <f>+P16/O16</f>
        <v>0.23345719810979609</v>
      </c>
      <c r="R16" s="673">
        <f>+R7</f>
        <v>45955631.520000003</v>
      </c>
      <c r="S16" s="673">
        <f>+S7</f>
        <v>-3872.5200000032783</v>
      </c>
    </row>
    <row r="17" spans="1:19" x14ac:dyDescent="0.2">
      <c r="O17" s="389"/>
    </row>
    <row r="18" spans="1:19" s="676" customFormat="1" ht="97.5" customHeight="1" x14ac:dyDescent="0.25">
      <c r="A18" s="1049" t="s">
        <v>861</v>
      </c>
      <c r="B18" s="1049"/>
      <c r="C18" s="1049"/>
      <c r="D18" s="1049"/>
      <c r="E18" s="1049"/>
      <c r="F18" s="1049"/>
      <c r="G18" s="1049"/>
      <c r="H18" s="1049"/>
      <c r="I18" s="1049"/>
      <c r="J18" s="1049"/>
      <c r="K18" s="1049"/>
      <c r="L18" s="1049"/>
      <c r="M18" s="1049"/>
      <c r="N18" s="1049"/>
      <c r="O18" s="1049"/>
      <c r="P18" s="1049"/>
      <c r="Q18" s="1049"/>
      <c r="R18" s="1049"/>
    </row>
    <row r="19" spans="1:19" ht="23.25" customHeight="1" x14ac:dyDescent="0.2">
      <c r="A19" s="1034"/>
      <c r="B19" s="1034"/>
      <c r="C19" s="1034"/>
      <c r="D19" s="1034"/>
      <c r="E19" s="1034"/>
      <c r="F19" s="1034"/>
      <c r="G19" s="1034"/>
      <c r="H19" s="1034"/>
      <c r="I19" s="1034"/>
      <c r="J19" s="1034"/>
      <c r="K19" s="1034"/>
      <c r="L19" s="1034"/>
      <c r="M19" s="1034"/>
      <c r="N19" s="1034"/>
      <c r="O19" s="1034"/>
      <c r="P19" s="1034"/>
      <c r="Q19" s="1034"/>
      <c r="R19" s="677"/>
    </row>
    <row r="20" spans="1:19" ht="28.5" customHeight="1" x14ac:dyDescent="0.2">
      <c r="A20" s="988" t="s">
        <v>819</v>
      </c>
      <c r="B20" s="988"/>
      <c r="C20" s="988"/>
      <c r="D20" s="988"/>
      <c r="E20" s="988"/>
      <c r="F20" s="988"/>
      <c r="G20" s="988"/>
      <c r="H20" s="988"/>
      <c r="I20" s="988"/>
      <c r="J20" s="988"/>
      <c r="K20" s="988"/>
      <c r="L20" s="988"/>
      <c r="M20" s="988"/>
      <c r="N20" s="988"/>
      <c r="O20" s="988"/>
      <c r="P20" s="988"/>
      <c r="Q20" s="988"/>
      <c r="R20" s="988"/>
      <c r="S20" s="988"/>
    </row>
    <row r="21" spans="1:19" x14ac:dyDescent="0.2">
      <c r="H21" s="389"/>
      <c r="I21" s="389"/>
      <c r="J21" s="389"/>
      <c r="K21" s="389"/>
      <c r="L21" s="389"/>
      <c r="M21" s="389"/>
      <c r="N21" s="389"/>
      <c r="O21" s="389"/>
    </row>
    <row r="22" spans="1:19" x14ac:dyDescent="0.2">
      <c r="K22" s="389"/>
      <c r="L22" s="389"/>
    </row>
    <row r="23" spans="1:19" x14ac:dyDescent="0.2">
      <c r="K23" s="389"/>
      <c r="L23" s="389"/>
    </row>
  </sheetData>
  <mergeCells count="34">
    <mergeCell ref="A1:P1"/>
    <mergeCell ref="A2:A5"/>
    <mergeCell ref="B2:C4"/>
    <mergeCell ref="D2:D5"/>
    <mergeCell ref="E2:E5"/>
    <mergeCell ref="F2:G3"/>
    <mergeCell ref="H2:N3"/>
    <mergeCell ref="O2:R3"/>
    <mergeCell ref="O4:Q4"/>
    <mergeCell ref="R4:R5"/>
    <mergeCell ref="S2:S5"/>
    <mergeCell ref="F4:F5"/>
    <mergeCell ref="G4:G5"/>
    <mergeCell ref="H4:H5"/>
    <mergeCell ref="I4:I5"/>
    <mergeCell ref="J4:J5"/>
    <mergeCell ref="K4:K5"/>
    <mergeCell ref="L4:L5"/>
    <mergeCell ref="M4:M5"/>
    <mergeCell ref="N4:N5"/>
    <mergeCell ref="A19:Q19"/>
    <mergeCell ref="A20:S20"/>
    <mergeCell ref="P7:P15"/>
    <mergeCell ref="Q7:Q15"/>
    <mergeCell ref="R7:R15"/>
    <mergeCell ref="S7:S15"/>
    <mergeCell ref="F12:G15"/>
    <mergeCell ref="A18:R18"/>
    <mergeCell ref="A7:A15"/>
    <mergeCell ref="B7:B15"/>
    <mergeCell ref="C7:C15"/>
    <mergeCell ref="D7:D15"/>
    <mergeCell ref="H7:N8"/>
    <mergeCell ref="O7:O15"/>
  </mergeCells>
  <printOptions horizontalCentered="1" verticalCentered="1"/>
  <pageMargins left="0.39370078740157483" right="0.39370078740157483" top="0.39370078740157483" bottom="0.39370078740157483" header="0.31496062992125984" footer="0.31496062992125984"/>
  <pageSetup paperSize="9" scale="54"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BA0-DAEE-48F2-94F2-1EB114D3E2B4}">
  <sheetPr>
    <pageSetUpPr fitToPage="1"/>
  </sheetPr>
  <dimension ref="A1:R44"/>
  <sheetViews>
    <sheetView zoomScaleNormal="100" zoomScaleSheetLayoutView="100" workbookViewId="0">
      <pane xSplit="2" ySplit="5" topLeftCell="C32" activePane="bottomRight" state="frozen"/>
      <selection activeCell="D7" sqref="D7:D18"/>
      <selection pane="topRight" activeCell="D7" sqref="D7:D18"/>
      <selection pane="bottomLeft" activeCell="D7" sqref="D7:D18"/>
      <selection pane="bottomRight" activeCell="D6" sqref="D6:J18"/>
    </sheetView>
  </sheetViews>
  <sheetFormatPr defaultColWidth="32" defaultRowHeight="11.25" x14ac:dyDescent="0.2"/>
  <cols>
    <col min="1" max="1" width="13.7109375" style="5" customWidth="1"/>
    <col min="2" max="2" width="13.85546875" style="659" customWidth="1"/>
    <col min="3" max="10" width="13" style="5" customWidth="1"/>
    <col min="11" max="11" width="12.85546875" style="5" customWidth="1"/>
    <col min="12" max="12" width="16.85546875" style="5" customWidth="1"/>
    <col min="13" max="13" width="14.85546875" style="660" customWidth="1"/>
    <col min="14" max="16384" width="32" style="5"/>
  </cols>
  <sheetData>
    <row r="1" spans="1:13" ht="15.75" customHeight="1" x14ac:dyDescent="0.25">
      <c r="A1" s="1021" t="s">
        <v>862</v>
      </c>
      <c r="B1" s="1021"/>
      <c r="C1" s="1021"/>
      <c r="D1" s="1021"/>
      <c r="E1" s="1021"/>
      <c r="F1" s="1021"/>
      <c r="G1" s="1021"/>
      <c r="H1" s="1021"/>
      <c r="I1" s="1021"/>
      <c r="J1" s="1021"/>
      <c r="K1" s="1021"/>
      <c r="L1" s="1021"/>
      <c r="M1" s="1021"/>
    </row>
    <row r="2" spans="1:13" ht="21" customHeight="1" x14ac:dyDescent="0.2">
      <c r="A2" s="1013" t="s">
        <v>773</v>
      </c>
      <c r="B2" s="1016" t="s">
        <v>822</v>
      </c>
      <c r="C2" s="1013" t="s">
        <v>776</v>
      </c>
      <c r="D2" s="1044" t="s">
        <v>669</v>
      </c>
      <c r="E2" s="1040"/>
      <c r="F2" s="1040"/>
      <c r="G2" s="1040"/>
      <c r="H2" s="1040"/>
      <c r="I2" s="1040"/>
      <c r="J2" s="1041"/>
      <c r="K2" s="1044" t="s">
        <v>778</v>
      </c>
      <c r="L2" s="1040"/>
      <c r="M2" s="1041"/>
    </row>
    <row r="3" spans="1:13" ht="25.5" customHeight="1" x14ac:dyDescent="0.2">
      <c r="A3" s="1013"/>
      <c r="B3" s="1022"/>
      <c r="C3" s="1013"/>
      <c r="D3" s="1045"/>
      <c r="E3" s="1042"/>
      <c r="F3" s="1042"/>
      <c r="G3" s="1042"/>
      <c r="H3" s="1042"/>
      <c r="I3" s="1042"/>
      <c r="J3" s="1043"/>
      <c r="K3" s="1045"/>
      <c r="L3" s="1042"/>
      <c r="M3" s="1043"/>
    </row>
    <row r="4" spans="1:13" s="639" customFormat="1" ht="60.75" customHeight="1" x14ac:dyDescent="0.25">
      <c r="A4" s="1013"/>
      <c r="B4" s="1017"/>
      <c r="C4" s="1013"/>
      <c r="D4" s="638" t="s">
        <v>823</v>
      </c>
      <c r="E4" s="638" t="s">
        <v>824</v>
      </c>
      <c r="F4" s="638" t="s">
        <v>825</v>
      </c>
      <c r="G4" s="638" t="s">
        <v>826</v>
      </c>
      <c r="H4" s="638" t="s">
        <v>827</v>
      </c>
      <c r="I4" s="638" t="s">
        <v>828</v>
      </c>
      <c r="J4" s="638" t="s">
        <v>829</v>
      </c>
      <c r="K4" s="638" t="s">
        <v>830</v>
      </c>
      <c r="L4" s="638" t="s">
        <v>832</v>
      </c>
      <c r="M4" s="640" t="s">
        <v>787</v>
      </c>
    </row>
    <row r="5" spans="1:13" s="639" customFormat="1" x14ac:dyDescent="0.25">
      <c r="A5" s="641" t="s">
        <v>305</v>
      </c>
      <c r="B5" s="641" t="s">
        <v>306</v>
      </c>
      <c r="C5" s="643" t="s">
        <v>307</v>
      </c>
      <c r="D5" s="641" t="s">
        <v>308</v>
      </c>
      <c r="E5" s="641" t="s">
        <v>309</v>
      </c>
      <c r="F5" s="641" t="s">
        <v>515</v>
      </c>
      <c r="G5" s="643" t="s">
        <v>637</v>
      </c>
      <c r="H5" s="643" t="s">
        <v>310</v>
      </c>
      <c r="I5" s="643" t="s">
        <v>788</v>
      </c>
      <c r="J5" s="641" t="s">
        <v>516</v>
      </c>
      <c r="K5" s="643" t="s">
        <v>705</v>
      </c>
      <c r="L5" s="643" t="s">
        <v>696</v>
      </c>
      <c r="M5" s="643" t="s">
        <v>863</v>
      </c>
    </row>
    <row r="6" spans="1:13" ht="22.5" customHeight="1" x14ac:dyDescent="0.2">
      <c r="A6" s="992" t="s">
        <v>396</v>
      </c>
      <c r="B6" s="1107"/>
      <c r="C6" s="644" t="s">
        <v>794</v>
      </c>
      <c r="D6" s="1038"/>
      <c r="E6" s="1038"/>
      <c r="F6" s="1038"/>
      <c r="G6" s="1038"/>
      <c r="H6" s="1038"/>
      <c r="I6" s="1038"/>
      <c r="J6" s="1038"/>
      <c r="K6" s="1001">
        <v>95664735.766666695</v>
      </c>
      <c r="L6" s="1001">
        <v>22333621.170000002</v>
      </c>
      <c r="M6" s="1109">
        <f>+L6/K6</f>
        <v>0.23345719810979609</v>
      </c>
    </row>
    <row r="7" spans="1:13" ht="15" customHeight="1" x14ac:dyDescent="0.2">
      <c r="A7" s="993"/>
      <c r="B7" s="1108"/>
      <c r="C7" s="644">
        <v>2015</v>
      </c>
      <c r="D7" s="1038"/>
      <c r="E7" s="1038"/>
      <c r="F7" s="1038"/>
      <c r="G7" s="1038"/>
      <c r="H7" s="1038"/>
      <c r="I7" s="1038"/>
      <c r="J7" s="1038"/>
      <c r="K7" s="1002"/>
      <c r="L7" s="1002"/>
      <c r="M7" s="1110"/>
    </row>
    <row r="8" spans="1:13" ht="15" customHeight="1" x14ac:dyDescent="0.2">
      <c r="A8" s="993"/>
      <c r="B8" s="1106" t="s">
        <v>864</v>
      </c>
      <c r="C8" s="644">
        <v>2016</v>
      </c>
      <c r="D8" s="721">
        <v>596</v>
      </c>
      <c r="E8" s="634">
        <v>3309825.2799999979</v>
      </c>
      <c r="F8" s="634">
        <v>2270030.4700000002</v>
      </c>
      <c r="G8" s="689">
        <v>2304939.1500000008</v>
      </c>
      <c r="H8" s="689">
        <v>2305632.3600000008</v>
      </c>
      <c r="I8" s="721">
        <v>467</v>
      </c>
      <c r="J8" s="721">
        <v>12</v>
      </c>
      <c r="K8" s="1002"/>
      <c r="L8" s="1002"/>
      <c r="M8" s="1110"/>
    </row>
    <row r="9" spans="1:13" ht="15" customHeight="1" x14ac:dyDescent="0.2">
      <c r="A9" s="993"/>
      <c r="B9" s="1106"/>
      <c r="C9" s="644">
        <v>2017</v>
      </c>
      <c r="D9" s="721">
        <v>394</v>
      </c>
      <c r="E9" s="634">
        <v>2219995.1818999993</v>
      </c>
      <c r="F9" s="634">
        <v>1641952.25</v>
      </c>
      <c r="G9" s="689">
        <v>1639593.7999999998</v>
      </c>
      <c r="H9" s="689">
        <v>1644505.5999999999</v>
      </c>
      <c r="I9" s="721">
        <v>332</v>
      </c>
      <c r="J9" s="721">
        <v>14</v>
      </c>
      <c r="K9" s="1002"/>
      <c r="L9" s="1002"/>
      <c r="M9" s="1110"/>
    </row>
    <row r="10" spans="1:13" ht="15" customHeight="1" x14ac:dyDescent="0.2">
      <c r="A10" s="993"/>
      <c r="B10" s="1106"/>
      <c r="C10" s="644">
        <v>2018</v>
      </c>
      <c r="D10" s="721">
        <v>353</v>
      </c>
      <c r="E10" s="634">
        <v>2358163.5852999995</v>
      </c>
      <c r="F10" s="634">
        <v>1912567.1999999997</v>
      </c>
      <c r="G10" s="689">
        <v>1863332.1199999994</v>
      </c>
      <c r="H10" s="689">
        <v>1879358.0699999996</v>
      </c>
      <c r="I10" s="721">
        <v>308</v>
      </c>
      <c r="J10" s="721">
        <v>13</v>
      </c>
      <c r="K10" s="1002"/>
      <c r="L10" s="1002"/>
      <c r="M10" s="1110"/>
    </row>
    <row r="11" spans="1:13" ht="15" customHeight="1" x14ac:dyDescent="0.2">
      <c r="A11" s="993"/>
      <c r="B11" s="1106"/>
      <c r="C11" s="644">
        <v>2019</v>
      </c>
      <c r="D11" s="721">
        <v>325</v>
      </c>
      <c r="E11" s="634">
        <v>2367346.8023999976</v>
      </c>
      <c r="F11" s="634">
        <v>1946356.23</v>
      </c>
      <c r="G11" s="689">
        <v>1952666.0799999998</v>
      </c>
      <c r="H11" s="689">
        <v>1952666.0799999998</v>
      </c>
      <c r="I11" s="721">
        <v>307</v>
      </c>
      <c r="J11" s="721">
        <v>10</v>
      </c>
      <c r="K11" s="1002"/>
      <c r="L11" s="1002"/>
      <c r="M11" s="1110"/>
    </row>
    <row r="12" spans="1:13" ht="15" customHeight="1" x14ac:dyDescent="0.2">
      <c r="A12" s="993"/>
      <c r="B12" s="1106"/>
      <c r="C12" s="644">
        <v>2020</v>
      </c>
      <c r="D12" s="721">
        <v>305</v>
      </c>
      <c r="E12" s="634">
        <v>2403623.2482999992</v>
      </c>
      <c r="F12" s="634">
        <v>1869632.1899999981</v>
      </c>
      <c r="G12" s="689">
        <v>1949838.2899999982</v>
      </c>
      <c r="H12" s="689">
        <v>1949838.2899999982</v>
      </c>
      <c r="I12" s="721">
        <v>292</v>
      </c>
      <c r="J12" s="721">
        <v>11</v>
      </c>
      <c r="K12" s="1002"/>
      <c r="L12" s="1002"/>
      <c r="M12" s="1110"/>
    </row>
    <row r="13" spans="1:13" ht="15" customHeight="1" x14ac:dyDescent="0.2">
      <c r="A13" s="993"/>
      <c r="B13" s="1103" t="s">
        <v>835</v>
      </c>
      <c r="C13" s="1104"/>
      <c r="D13" s="722">
        <f t="shared" ref="D13:J13" si="0">SUM(D8:D12)</f>
        <v>1973</v>
      </c>
      <c r="E13" s="723">
        <f t="shared" si="0"/>
        <v>12658954.097899994</v>
      </c>
      <c r="F13" s="723">
        <f t="shared" si="0"/>
        <v>9640538.339999998</v>
      </c>
      <c r="G13" s="723">
        <f t="shared" si="0"/>
        <v>9710369.4399999976</v>
      </c>
      <c r="H13" s="723">
        <f t="shared" si="0"/>
        <v>9732000.3999999985</v>
      </c>
      <c r="I13" s="722">
        <f t="shared" si="0"/>
        <v>1706</v>
      </c>
      <c r="J13" s="722">
        <f t="shared" si="0"/>
        <v>60</v>
      </c>
      <c r="K13" s="1002"/>
      <c r="L13" s="1002"/>
      <c r="M13" s="1110"/>
    </row>
    <row r="14" spans="1:13" ht="15" customHeight="1" x14ac:dyDescent="0.2">
      <c r="A14" s="993"/>
      <c r="B14" s="1106" t="s">
        <v>865</v>
      </c>
      <c r="C14" s="644">
        <v>2017</v>
      </c>
      <c r="D14" s="721">
        <v>240</v>
      </c>
      <c r="E14" s="634">
        <v>1089608.5344999998</v>
      </c>
      <c r="F14" s="634">
        <v>652495.60000000009</v>
      </c>
      <c r="G14" s="689">
        <v>668382.78</v>
      </c>
      <c r="H14" s="689">
        <v>668382.78</v>
      </c>
      <c r="I14" s="721">
        <v>176</v>
      </c>
      <c r="J14" s="721">
        <v>2</v>
      </c>
      <c r="K14" s="1002"/>
      <c r="L14" s="1002"/>
      <c r="M14" s="1110"/>
    </row>
    <row r="15" spans="1:13" ht="15" customHeight="1" x14ac:dyDescent="0.2">
      <c r="A15" s="993"/>
      <c r="B15" s="1106"/>
      <c r="C15" s="644">
        <v>2018</v>
      </c>
      <c r="D15" s="721">
        <v>183</v>
      </c>
      <c r="E15" s="634">
        <v>935974.37739999965</v>
      </c>
      <c r="F15" s="634">
        <v>585569.09999999986</v>
      </c>
      <c r="G15" s="689">
        <v>602213.12</v>
      </c>
      <c r="H15" s="689">
        <v>602213.12</v>
      </c>
      <c r="I15" s="721">
        <v>150</v>
      </c>
      <c r="J15" s="721">
        <v>10</v>
      </c>
      <c r="K15" s="1002"/>
      <c r="L15" s="1002"/>
      <c r="M15" s="1110"/>
    </row>
    <row r="16" spans="1:13" ht="15" customHeight="1" x14ac:dyDescent="0.2">
      <c r="A16" s="993"/>
      <c r="B16" s="1106"/>
      <c r="C16" s="644">
        <v>2019</v>
      </c>
      <c r="D16" s="721">
        <v>166</v>
      </c>
      <c r="E16" s="634">
        <v>922999.32350000052</v>
      </c>
      <c r="F16" s="634">
        <v>672826.65999999992</v>
      </c>
      <c r="G16" s="689">
        <v>659944.85000000009</v>
      </c>
      <c r="H16" s="689">
        <v>659944.85000000009</v>
      </c>
      <c r="I16" s="721">
        <v>144</v>
      </c>
      <c r="J16" s="721">
        <v>4</v>
      </c>
      <c r="K16" s="1002"/>
      <c r="L16" s="1002"/>
      <c r="M16" s="1110"/>
    </row>
    <row r="17" spans="1:13" ht="15" customHeight="1" x14ac:dyDescent="0.2">
      <c r="A17" s="993"/>
      <c r="B17" s="1106"/>
      <c r="C17" s="644">
        <v>2020</v>
      </c>
      <c r="D17" s="721">
        <v>155</v>
      </c>
      <c r="E17" s="634">
        <v>893040.96899999981</v>
      </c>
      <c r="F17" s="634">
        <v>634687.06000000006</v>
      </c>
      <c r="G17" s="689">
        <v>675575.2095</v>
      </c>
      <c r="H17" s="689">
        <v>675575.2095</v>
      </c>
      <c r="I17" s="721">
        <v>139</v>
      </c>
      <c r="J17" s="721">
        <v>2</v>
      </c>
      <c r="K17" s="1002"/>
      <c r="L17" s="1002"/>
      <c r="M17" s="1110"/>
    </row>
    <row r="18" spans="1:13" ht="15" customHeight="1" x14ac:dyDescent="0.2">
      <c r="A18" s="993"/>
      <c r="B18" s="1106"/>
      <c r="C18" s="644">
        <v>2021</v>
      </c>
      <c r="D18" s="721">
        <v>139</v>
      </c>
      <c r="E18" s="634">
        <v>794661.73000000033</v>
      </c>
      <c r="F18" s="634">
        <v>652214.38000000035</v>
      </c>
      <c r="G18" s="689">
        <v>673290.90000000026</v>
      </c>
      <c r="H18" s="689">
        <v>673290.90000000026</v>
      </c>
      <c r="I18" s="721">
        <v>135</v>
      </c>
      <c r="J18" s="721">
        <v>1</v>
      </c>
      <c r="K18" s="1002"/>
      <c r="L18" s="1002"/>
      <c r="M18" s="1110"/>
    </row>
    <row r="19" spans="1:13" ht="15" customHeight="1" x14ac:dyDescent="0.2">
      <c r="A19" s="993"/>
      <c r="B19" s="1103" t="s">
        <v>866</v>
      </c>
      <c r="C19" s="1104"/>
      <c r="D19" s="722">
        <f t="shared" ref="D19:J19" si="1">SUM(D14:D18)</f>
        <v>883</v>
      </c>
      <c r="E19" s="723">
        <f t="shared" si="1"/>
        <v>4636284.9344000006</v>
      </c>
      <c r="F19" s="723">
        <f t="shared" si="1"/>
        <v>3197792.8000000003</v>
      </c>
      <c r="G19" s="723">
        <f t="shared" si="1"/>
        <v>3279406.8595000003</v>
      </c>
      <c r="H19" s="723">
        <f t="shared" si="1"/>
        <v>3279406.8595000003</v>
      </c>
      <c r="I19" s="722">
        <f t="shared" si="1"/>
        <v>744</v>
      </c>
      <c r="J19" s="722">
        <f t="shared" si="1"/>
        <v>19</v>
      </c>
      <c r="K19" s="1002"/>
      <c r="L19" s="1002"/>
      <c r="M19" s="1110"/>
    </row>
    <row r="20" spans="1:13" ht="15" customHeight="1" x14ac:dyDescent="0.2">
      <c r="A20" s="993"/>
      <c r="B20" s="1105" t="s">
        <v>867</v>
      </c>
      <c r="C20" s="724">
        <v>2018</v>
      </c>
      <c r="D20" s="721">
        <v>847</v>
      </c>
      <c r="E20" s="634">
        <v>7675927.7008999977</v>
      </c>
      <c r="F20" s="634">
        <v>6220637.2199999932</v>
      </c>
      <c r="G20" s="689">
        <v>6251621.6799999932</v>
      </c>
      <c r="H20" s="689">
        <v>6262305.019999993</v>
      </c>
      <c r="I20" s="721">
        <v>752</v>
      </c>
      <c r="J20" s="721">
        <v>9</v>
      </c>
      <c r="K20" s="1002"/>
      <c r="L20" s="1002"/>
      <c r="M20" s="1110"/>
    </row>
    <row r="21" spans="1:13" ht="15" customHeight="1" x14ac:dyDescent="0.2">
      <c r="A21" s="993"/>
      <c r="B21" s="1105"/>
      <c r="C21" s="724">
        <v>2019</v>
      </c>
      <c r="D21" s="721">
        <v>741</v>
      </c>
      <c r="E21" s="634">
        <v>7716990.0927000009</v>
      </c>
      <c r="F21" s="634">
        <v>6729158.1799999988</v>
      </c>
      <c r="G21" s="689">
        <v>6761843.120000001</v>
      </c>
      <c r="H21" s="689">
        <v>6786866.1300000018</v>
      </c>
      <c r="I21" s="721">
        <v>701</v>
      </c>
      <c r="J21" s="721">
        <v>8</v>
      </c>
      <c r="K21" s="1002"/>
      <c r="L21" s="1002"/>
      <c r="M21" s="1110"/>
    </row>
    <row r="22" spans="1:13" ht="15" customHeight="1" x14ac:dyDescent="0.2">
      <c r="A22" s="993"/>
      <c r="B22" s="1105"/>
      <c r="C22" s="724">
        <v>2020</v>
      </c>
      <c r="D22" s="721">
        <v>713</v>
      </c>
      <c r="E22" s="634">
        <v>7915677.5379999997</v>
      </c>
      <c r="F22" s="634">
        <v>6354352.0100000026</v>
      </c>
      <c r="G22" s="689">
        <v>6678607.4335000096</v>
      </c>
      <c r="H22" s="689">
        <v>6698717.4835000057</v>
      </c>
      <c r="I22" s="721">
        <v>679</v>
      </c>
      <c r="J22" s="721">
        <v>9</v>
      </c>
      <c r="K22" s="1002"/>
      <c r="L22" s="1002"/>
      <c r="M22" s="1110"/>
    </row>
    <row r="23" spans="1:13" ht="15" customHeight="1" x14ac:dyDescent="0.2">
      <c r="A23" s="993"/>
      <c r="B23" s="1105"/>
      <c r="C23" s="724">
        <v>2021</v>
      </c>
      <c r="D23" s="721">
        <v>688</v>
      </c>
      <c r="E23" s="634">
        <v>7546593.5000000019</v>
      </c>
      <c r="F23" s="634">
        <v>6692162.79</v>
      </c>
      <c r="G23" s="689">
        <v>6794867.7300000014</v>
      </c>
      <c r="H23" s="689">
        <v>6805927.2000000011</v>
      </c>
      <c r="I23" s="721">
        <v>675</v>
      </c>
      <c r="J23" s="721">
        <v>6</v>
      </c>
      <c r="K23" s="1002"/>
      <c r="L23" s="1002"/>
      <c r="M23" s="1110"/>
    </row>
    <row r="24" spans="1:13" ht="15" customHeight="1" x14ac:dyDescent="0.2">
      <c r="A24" s="993"/>
      <c r="B24" s="1105"/>
      <c r="C24" s="724">
        <v>2022</v>
      </c>
      <c r="D24" s="721">
        <v>674</v>
      </c>
      <c r="E24" s="634">
        <v>7484589.0199999968</v>
      </c>
      <c r="F24" s="634">
        <v>6708798.8300000029</v>
      </c>
      <c r="G24" s="689">
        <v>6676282.0900000026</v>
      </c>
      <c r="H24" s="689">
        <v>6722059.5800000029</v>
      </c>
      <c r="I24" s="721">
        <v>655</v>
      </c>
      <c r="J24" s="721">
        <v>14</v>
      </c>
      <c r="K24" s="1002"/>
      <c r="L24" s="1002"/>
      <c r="M24" s="1110"/>
    </row>
    <row r="25" spans="1:13" ht="15" customHeight="1" x14ac:dyDescent="0.2">
      <c r="A25" s="993"/>
      <c r="B25" s="1103" t="s">
        <v>868</v>
      </c>
      <c r="C25" s="1104"/>
      <c r="D25" s="722">
        <f t="shared" ref="D25:J25" si="2">SUM(D20:D24)</f>
        <v>3663</v>
      </c>
      <c r="E25" s="723">
        <f t="shared" si="2"/>
        <v>38339777.851599999</v>
      </c>
      <c r="F25" s="723">
        <f t="shared" si="2"/>
        <v>32705109.029999994</v>
      </c>
      <c r="G25" s="723">
        <f t="shared" si="2"/>
        <v>33163222.053500008</v>
      </c>
      <c r="H25" s="723">
        <f t="shared" si="2"/>
        <v>33275875.413500007</v>
      </c>
      <c r="I25" s="722">
        <f t="shared" si="2"/>
        <v>3462</v>
      </c>
      <c r="J25" s="722">
        <f t="shared" si="2"/>
        <v>46</v>
      </c>
      <c r="K25" s="1002"/>
      <c r="L25" s="1002"/>
      <c r="M25" s="1110"/>
    </row>
    <row r="26" spans="1:13" ht="15" customHeight="1" x14ac:dyDescent="0.2">
      <c r="A26" s="993"/>
      <c r="B26" s="1106" t="s">
        <v>869</v>
      </c>
      <c r="C26" s="644">
        <v>2019</v>
      </c>
      <c r="D26" s="721">
        <v>385</v>
      </c>
      <c r="E26" s="634">
        <v>2958143.6958999997</v>
      </c>
      <c r="F26" s="634">
        <v>2401865.0799999996</v>
      </c>
      <c r="G26" s="689">
        <v>2436542.4499999997</v>
      </c>
      <c r="H26" s="689">
        <v>2436542.4499999997</v>
      </c>
      <c r="I26" s="721">
        <v>346</v>
      </c>
      <c r="J26" s="721">
        <v>4</v>
      </c>
      <c r="K26" s="1002"/>
      <c r="L26" s="1002"/>
      <c r="M26" s="1110"/>
    </row>
    <row r="27" spans="1:13" ht="15" customHeight="1" x14ac:dyDescent="0.2">
      <c r="A27" s="993"/>
      <c r="B27" s="1106"/>
      <c r="C27" s="644">
        <v>2020</v>
      </c>
      <c r="D27" s="721">
        <v>324</v>
      </c>
      <c r="E27" s="634">
        <v>2940694.2845000033</v>
      </c>
      <c r="F27" s="634">
        <v>2296090.4500000002</v>
      </c>
      <c r="G27" s="689">
        <v>2434930.3695000005</v>
      </c>
      <c r="H27" s="689">
        <v>2434930.3695000005</v>
      </c>
      <c r="I27" s="721">
        <v>311</v>
      </c>
      <c r="J27" s="721">
        <v>4</v>
      </c>
      <c r="K27" s="1002"/>
      <c r="L27" s="1002"/>
      <c r="M27" s="1110"/>
    </row>
    <row r="28" spans="1:13" ht="15" customHeight="1" x14ac:dyDescent="0.2">
      <c r="A28" s="993"/>
      <c r="B28" s="1106"/>
      <c r="C28" s="644">
        <v>2021</v>
      </c>
      <c r="D28" s="721">
        <v>304</v>
      </c>
      <c r="E28" s="634">
        <v>2723428.7499999977</v>
      </c>
      <c r="F28" s="634">
        <v>2328924.8899999978</v>
      </c>
      <c r="G28" s="689">
        <v>2361414.0399999982</v>
      </c>
      <c r="H28" s="689">
        <v>2361414.0399999982</v>
      </c>
      <c r="I28" s="721">
        <v>300</v>
      </c>
      <c r="J28" s="721">
        <v>2</v>
      </c>
      <c r="K28" s="1002"/>
      <c r="L28" s="1002"/>
      <c r="M28" s="1110"/>
    </row>
    <row r="29" spans="1:13" ht="15" customHeight="1" x14ac:dyDescent="0.2">
      <c r="A29" s="993"/>
      <c r="B29" s="1106"/>
      <c r="C29" s="644">
        <v>2022</v>
      </c>
      <c r="D29" s="721">
        <v>300</v>
      </c>
      <c r="E29" s="634">
        <v>2650865.2399999993</v>
      </c>
      <c r="F29" s="634">
        <v>2240277.1599999988</v>
      </c>
      <c r="G29" s="689">
        <v>2248636.5099999988</v>
      </c>
      <c r="H29" s="689">
        <v>2248636.5099999988</v>
      </c>
      <c r="I29" s="721">
        <v>290</v>
      </c>
      <c r="J29" s="721">
        <v>8</v>
      </c>
      <c r="K29" s="1002"/>
      <c r="L29" s="1002"/>
      <c r="M29" s="1110"/>
    </row>
    <row r="30" spans="1:13" ht="15" customHeight="1" x14ac:dyDescent="0.2">
      <c r="A30" s="993"/>
      <c r="B30" s="1103" t="s">
        <v>870</v>
      </c>
      <c r="C30" s="1104"/>
      <c r="D30" s="722">
        <f t="shared" ref="D30:J30" si="3">SUM(D26:D29)</f>
        <v>1313</v>
      </c>
      <c r="E30" s="723">
        <f t="shared" si="3"/>
        <v>11273131.970400002</v>
      </c>
      <c r="F30" s="723">
        <f t="shared" si="3"/>
        <v>9267157.5799999963</v>
      </c>
      <c r="G30" s="723">
        <f t="shared" si="3"/>
        <v>9481523.3694999963</v>
      </c>
      <c r="H30" s="723">
        <f t="shared" si="3"/>
        <v>9481523.3694999963</v>
      </c>
      <c r="I30" s="722">
        <f t="shared" si="3"/>
        <v>1247</v>
      </c>
      <c r="J30" s="722">
        <f t="shared" si="3"/>
        <v>18</v>
      </c>
      <c r="K30" s="1002"/>
      <c r="L30" s="1002"/>
      <c r="M30" s="1110"/>
    </row>
    <row r="31" spans="1:13" ht="15" customHeight="1" x14ac:dyDescent="0.2">
      <c r="A31" s="993"/>
      <c r="B31" s="1106" t="s">
        <v>871</v>
      </c>
      <c r="C31" s="644">
        <v>2020</v>
      </c>
      <c r="D31" s="721">
        <v>400</v>
      </c>
      <c r="E31" s="634">
        <v>3502442.9725999981</v>
      </c>
      <c r="F31" s="634">
        <v>2700195.8600000013</v>
      </c>
      <c r="G31" s="689">
        <v>2907223.7355000009</v>
      </c>
      <c r="H31" s="689">
        <v>2932347.315500001</v>
      </c>
      <c r="I31" s="721">
        <v>358</v>
      </c>
      <c r="J31" s="721">
        <v>1</v>
      </c>
      <c r="K31" s="1002"/>
      <c r="L31" s="1002"/>
      <c r="M31" s="1110"/>
    </row>
    <row r="32" spans="1:13" ht="15" customHeight="1" x14ac:dyDescent="0.2">
      <c r="A32" s="993"/>
      <c r="B32" s="1106"/>
      <c r="C32" s="644">
        <v>2021</v>
      </c>
      <c r="D32" s="721">
        <v>333</v>
      </c>
      <c r="E32" s="634">
        <v>3126055.6999999997</v>
      </c>
      <c r="F32" s="634">
        <v>2736817.5499999984</v>
      </c>
      <c r="G32" s="689">
        <v>2775877.9999999981</v>
      </c>
      <c r="H32" s="689">
        <v>2779892.9499999983</v>
      </c>
      <c r="I32" s="721">
        <v>319</v>
      </c>
      <c r="J32" s="721">
        <v>3</v>
      </c>
      <c r="K32" s="1002"/>
      <c r="L32" s="1002"/>
      <c r="M32" s="1110"/>
    </row>
    <row r="33" spans="1:18" ht="15" customHeight="1" x14ac:dyDescent="0.2">
      <c r="A33" s="993"/>
      <c r="B33" s="1106"/>
      <c r="C33" s="644">
        <v>2022</v>
      </c>
      <c r="D33" s="721">
        <v>317</v>
      </c>
      <c r="E33" s="634">
        <v>3157841.5500000026</v>
      </c>
      <c r="F33" s="634">
        <v>2850182.379999999</v>
      </c>
      <c r="G33" s="689">
        <v>2885163.3199999994</v>
      </c>
      <c r="H33" s="689">
        <v>2885163.3199999994</v>
      </c>
      <c r="I33" s="721">
        <v>309</v>
      </c>
      <c r="J33" s="721">
        <v>5</v>
      </c>
      <c r="K33" s="1002"/>
      <c r="L33" s="1002"/>
      <c r="M33" s="1110"/>
    </row>
    <row r="34" spans="1:18" ht="15" customHeight="1" x14ac:dyDescent="0.2">
      <c r="A34" s="993"/>
      <c r="B34" s="1103" t="s">
        <v>872</v>
      </c>
      <c r="C34" s="1104"/>
      <c r="D34" s="722">
        <f t="shared" ref="D34:J34" si="4">SUM(D31:D33)</f>
        <v>1050</v>
      </c>
      <c r="E34" s="723">
        <f t="shared" si="4"/>
        <v>9786340.2226</v>
      </c>
      <c r="F34" s="723">
        <f t="shared" si="4"/>
        <v>8287195.7899999991</v>
      </c>
      <c r="G34" s="723">
        <f t="shared" si="4"/>
        <v>8568265.055499997</v>
      </c>
      <c r="H34" s="723">
        <f t="shared" si="4"/>
        <v>8597403.5854999982</v>
      </c>
      <c r="I34" s="722">
        <f t="shared" si="4"/>
        <v>986</v>
      </c>
      <c r="J34" s="722">
        <f t="shared" si="4"/>
        <v>9</v>
      </c>
      <c r="K34" s="1002"/>
      <c r="L34" s="1002"/>
      <c r="M34" s="1110"/>
    </row>
    <row r="35" spans="1:18" ht="15" customHeight="1" x14ac:dyDescent="0.2">
      <c r="A35" s="993"/>
      <c r="B35" s="1035" t="s">
        <v>873</v>
      </c>
      <c r="C35" s="644">
        <v>2021</v>
      </c>
      <c r="D35" s="721">
        <v>513</v>
      </c>
      <c r="E35" s="634">
        <v>3663802.9300000048</v>
      </c>
      <c r="F35" s="634">
        <v>3322888.110000005</v>
      </c>
      <c r="G35" s="689">
        <v>3393348.7800000049</v>
      </c>
      <c r="H35" s="689">
        <v>3393348.7800000049</v>
      </c>
      <c r="I35" s="721">
        <v>507</v>
      </c>
      <c r="J35" s="721">
        <v>1</v>
      </c>
      <c r="K35" s="1002"/>
      <c r="L35" s="1002"/>
      <c r="M35" s="1110"/>
    </row>
    <row r="36" spans="1:18" ht="15" customHeight="1" x14ac:dyDescent="0.2">
      <c r="A36" s="993"/>
      <c r="B36" s="1036"/>
      <c r="C36" s="644">
        <v>2022</v>
      </c>
      <c r="D36" s="721">
        <v>488</v>
      </c>
      <c r="E36" s="634">
        <v>3698365.6199999996</v>
      </c>
      <c r="F36" s="634">
        <v>3398057.2199999997</v>
      </c>
      <c r="G36" s="689">
        <v>3430343.3699999992</v>
      </c>
      <c r="H36" s="689">
        <v>3430343.3699999992</v>
      </c>
      <c r="I36" s="721">
        <v>477</v>
      </c>
      <c r="J36" s="721">
        <v>4</v>
      </c>
      <c r="K36" s="1002"/>
      <c r="L36" s="1002"/>
      <c r="M36" s="1110"/>
    </row>
    <row r="37" spans="1:18" ht="15" customHeight="1" x14ac:dyDescent="0.2">
      <c r="A37" s="993"/>
      <c r="B37" s="1103" t="s">
        <v>837</v>
      </c>
      <c r="C37" s="1104"/>
      <c r="D37" s="722">
        <f t="shared" ref="D37:J37" si="5">SUM(D35:D36)</f>
        <v>1001</v>
      </c>
      <c r="E37" s="723">
        <f t="shared" si="5"/>
        <v>7362168.5500000045</v>
      </c>
      <c r="F37" s="723">
        <f t="shared" si="5"/>
        <v>6720945.3300000047</v>
      </c>
      <c r="G37" s="723">
        <f t="shared" si="5"/>
        <v>6823692.1500000041</v>
      </c>
      <c r="H37" s="723">
        <f t="shared" si="5"/>
        <v>6823692.1500000041</v>
      </c>
      <c r="I37" s="722">
        <f t="shared" si="5"/>
        <v>984</v>
      </c>
      <c r="J37" s="722">
        <f t="shared" si="5"/>
        <v>5</v>
      </c>
      <c r="K37" s="1002"/>
      <c r="L37" s="1002"/>
      <c r="M37" s="1110"/>
    </row>
    <row r="38" spans="1:18" ht="25.5" customHeight="1" x14ac:dyDescent="0.2">
      <c r="A38" s="993"/>
      <c r="B38" s="720" t="s">
        <v>874</v>
      </c>
      <c r="C38" s="644">
        <v>2022</v>
      </c>
      <c r="D38" s="721">
        <v>476</v>
      </c>
      <c r="E38" s="634">
        <v>3822903.4100000029</v>
      </c>
      <c r="F38" s="634">
        <v>3416865.3699999996</v>
      </c>
      <c r="G38" s="689">
        <v>3521475.2</v>
      </c>
      <c r="H38" s="689">
        <v>3521475.2</v>
      </c>
      <c r="I38" s="721">
        <v>469</v>
      </c>
      <c r="J38" s="721">
        <v>2</v>
      </c>
      <c r="K38" s="1002"/>
      <c r="L38" s="1002"/>
      <c r="M38" s="1110"/>
    </row>
    <row r="39" spans="1:18" ht="15" customHeight="1" x14ac:dyDescent="0.2">
      <c r="A39" s="994"/>
      <c r="B39" s="1103" t="s">
        <v>875</v>
      </c>
      <c r="C39" s="1104"/>
      <c r="D39" s="722">
        <f t="shared" ref="D39:J39" si="6">SUM(D38:D38)</f>
        <v>476</v>
      </c>
      <c r="E39" s="723">
        <f t="shared" si="6"/>
        <v>3822903.4100000029</v>
      </c>
      <c r="F39" s="723">
        <f t="shared" si="6"/>
        <v>3416865.3699999996</v>
      </c>
      <c r="G39" s="723">
        <f t="shared" si="6"/>
        <v>3521475.2</v>
      </c>
      <c r="H39" s="723">
        <f t="shared" si="6"/>
        <v>3521475.2</v>
      </c>
      <c r="I39" s="722">
        <f t="shared" si="6"/>
        <v>469</v>
      </c>
      <c r="J39" s="722">
        <f t="shared" si="6"/>
        <v>2</v>
      </c>
      <c r="K39" s="1003"/>
      <c r="L39" s="1003"/>
      <c r="M39" s="1111"/>
    </row>
    <row r="40" spans="1:18" ht="15.75" customHeight="1" x14ac:dyDescent="0.2">
      <c r="A40" s="1046" t="s">
        <v>860</v>
      </c>
      <c r="B40" s="1047"/>
      <c r="C40" s="1048"/>
      <c r="D40" s="708">
        <f t="shared" ref="D40:J40" si="7">+D39+D37+D34+D30+D25+D19+D13</f>
        <v>10359</v>
      </c>
      <c r="E40" s="709">
        <f t="shared" si="7"/>
        <v>87879561.036899999</v>
      </c>
      <c r="F40" s="709">
        <f t="shared" si="7"/>
        <v>73235604.239999995</v>
      </c>
      <c r="G40" s="709">
        <f t="shared" si="7"/>
        <v>74547954.127999991</v>
      </c>
      <c r="H40" s="709">
        <f t="shared" si="7"/>
        <v>74711376.978</v>
      </c>
      <c r="I40" s="708">
        <f t="shared" si="7"/>
        <v>9598</v>
      </c>
      <c r="J40" s="708">
        <f t="shared" si="7"/>
        <v>159</v>
      </c>
      <c r="K40" s="725">
        <f>+K6</f>
        <v>95664735.766666695</v>
      </c>
      <c r="L40" s="725">
        <f>+L6</f>
        <v>22333621.170000002</v>
      </c>
      <c r="M40" s="726">
        <f>+L40/K40</f>
        <v>0.23345719810979609</v>
      </c>
    </row>
    <row r="42" spans="1:18" s="676" customFormat="1" ht="87.75" customHeight="1" x14ac:dyDescent="0.25">
      <c r="A42" s="1049" t="s">
        <v>876</v>
      </c>
      <c r="B42" s="1049"/>
      <c r="C42" s="1049"/>
      <c r="D42" s="1049"/>
      <c r="E42" s="1049"/>
      <c r="F42" s="1049"/>
      <c r="G42" s="1049"/>
      <c r="H42" s="1049"/>
      <c r="I42" s="1049"/>
      <c r="J42" s="1049"/>
      <c r="K42" s="1049"/>
      <c r="L42" s="1049"/>
      <c r="M42" s="1049"/>
      <c r="N42" s="712"/>
      <c r="O42" s="712"/>
      <c r="P42" s="712"/>
      <c r="Q42" s="712"/>
    </row>
    <row r="43" spans="1:18" ht="23.25" customHeight="1" x14ac:dyDescent="0.2">
      <c r="A43" s="677"/>
      <c r="B43" s="677"/>
      <c r="C43" s="677"/>
      <c r="D43" s="677"/>
      <c r="E43" s="677"/>
      <c r="F43" s="677"/>
      <c r="G43" s="677"/>
      <c r="H43" s="677"/>
      <c r="I43" s="677"/>
      <c r="J43" s="677"/>
      <c r="K43" s="677"/>
      <c r="L43" s="677"/>
      <c r="M43" s="677"/>
      <c r="N43" s="677"/>
      <c r="O43" s="677"/>
      <c r="P43" s="677"/>
      <c r="Q43" s="677"/>
      <c r="R43" s="677"/>
    </row>
    <row r="44" spans="1:18" ht="28.5" customHeight="1" x14ac:dyDescent="0.2">
      <c r="A44" s="988" t="s">
        <v>819</v>
      </c>
      <c r="B44" s="988"/>
      <c r="C44" s="988"/>
      <c r="D44" s="988"/>
      <c r="E44" s="988"/>
      <c r="F44" s="988"/>
      <c r="G44" s="988"/>
      <c r="H44" s="988"/>
      <c r="I44" s="988"/>
      <c r="J44" s="988"/>
      <c r="K44" s="988"/>
      <c r="L44" s="988"/>
      <c r="M44" s="988"/>
      <c r="N44" s="714"/>
      <c r="O44" s="714"/>
      <c r="P44" s="714"/>
      <c r="Q44" s="714"/>
      <c r="R44" s="677"/>
    </row>
  </sheetData>
  <mergeCells count="28">
    <mergeCell ref="B19:C19"/>
    <mergeCell ref="A1:M1"/>
    <mergeCell ref="A2:A4"/>
    <mergeCell ref="B2:B4"/>
    <mergeCell ref="C2:C4"/>
    <mergeCell ref="D2:J3"/>
    <mergeCell ref="K2:M3"/>
    <mergeCell ref="A44:M44"/>
    <mergeCell ref="B20:B24"/>
    <mergeCell ref="B25:C25"/>
    <mergeCell ref="B26:B29"/>
    <mergeCell ref="B30:C30"/>
    <mergeCell ref="B31:B33"/>
    <mergeCell ref="B34:C34"/>
    <mergeCell ref="A6:A39"/>
    <mergeCell ref="B6:B7"/>
    <mergeCell ref="D6:J7"/>
    <mergeCell ref="K6:K39"/>
    <mergeCell ref="L6:L39"/>
    <mergeCell ref="M6:M39"/>
    <mergeCell ref="B8:B12"/>
    <mergeCell ref="B13:C13"/>
    <mergeCell ref="B14:B18"/>
    <mergeCell ref="B35:B36"/>
    <mergeCell ref="B37:C37"/>
    <mergeCell ref="B39:C39"/>
    <mergeCell ref="A40:C40"/>
    <mergeCell ref="A42:M42"/>
  </mergeCells>
  <printOptions horizontalCentered="1" verticalCentered="1"/>
  <pageMargins left="0.39370078740157483" right="0.39370078740157483" top="0.39370078740157483" bottom="0.39370078740157483" header="0.31496062992125984" footer="0.31496062992125984"/>
  <pageSetup paperSize="9" scale="54"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875A-5F52-4EB9-8E88-87F82F7BD5EA}">
  <sheetPr>
    <pageSetUpPr fitToPage="1"/>
  </sheetPr>
  <dimension ref="A1:S26"/>
  <sheetViews>
    <sheetView topLeftCell="A5" zoomScaleNormal="100" zoomScaleSheetLayoutView="70" workbookViewId="0">
      <selection activeCell="B5" sqref="B5"/>
    </sheetView>
  </sheetViews>
  <sheetFormatPr defaultColWidth="32" defaultRowHeight="11.25" x14ac:dyDescent="0.2"/>
  <cols>
    <col min="1" max="1" width="14.28515625" style="5" customWidth="1"/>
    <col min="2" max="3" width="13.28515625" style="659" customWidth="1"/>
    <col min="4" max="4" width="16.140625" style="659" customWidth="1"/>
    <col min="5" max="5" width="12.140625" style="5" customWidth="1"/>
    <col min="6" max="6" width="9.7109375" style="5" customWidth="1"/>
    <col min="7" max="7" width="17.85546875" style="5" customWidth="1"/>
    <col min="8" max="8" width="13.42578125" style="5" customWidth="1"/>
    <col min="9" max="9" width="12.140625" style="5" customWidth="1"/>
    <col min="10" max="10" width="13" style="5" customWidth="1"/>
    <col min="11" max="11" width="13.5703125" style="5" customWidth="1"/>
    <col min="12" max="12" width="14.42578125" style="5" customWidth="1"/>
    <col min="13" max="14" width="12.28515625" style="5" customWidth="1"/>
    <col min="15" max="15" width="13.42578125" style="5" customWidth="1"/>
    <col min="16" max="16" width="13.42578125" style="660" customWidth="1"/>
    <col min="17" max="17" width="13.42578125" style="5" customWidth="1"/>
    <col min="18" max="18" width="11.7109375" style="5" customWidth="1"/>
    <col min="19" max="22" width="14.85546875" style="5" customWidth="1"/>
    <col min="23" max="16384" width="32" style="5"/>
  </cols>
  <sheetData>
    <row r="1" spans="1:19" ht="15.75" customHeight="1" x14ac:dyDescent="0.25">
      <c r="A1" s="1021" t="s">
        <v>877</v>
      </c>
      <c r="B1" s="1021"/>
      <c r="C1" s="1021"/>
      <c r="D1" s="1021"/>
      <c r="E1" s="1021"/>
      <c r="F1" s="1021"/>
      <c r="G1" s="1021"/>
      <c r="H1" s="1021"/>
      <c r="I1" s="1021"/>
      <c r="J1" s="1021"/>
      <c r="K1" s="1021"/>
      <c r="L1" s="1021"/>
      <c r="M1" s="1021"/>
      <c r="N1" s="1021"/>
      <c r="O1" s="1021"/>
      <c r="P1" s="1021"/>
    </row>
    <row r="2" spans="1:19" ht="11.25" customHeight="1" x14ac:dyDescent="0.2">
      <c r="A2" s="1016" t="s">
        <v>773</v>
      </c>
      <c r="B2" s="1023" t="s">
        <v>854</v>
      </c>
      <c r="C2" s="1024"/>
      <c r="D2" s="1016" t="s">
        <v>783</v>
      </c>
      <c r="E2" s="1016" t="s">
        <v>776</v>
      </c>
      <c r="F2" s="1013" t="s">
        <v>777</v>
      </c>
      <c r="G2" s="1013"/>
      <c r="H2" s="1044" t="s">
        <v>669</v>
      </c>
      <c r="I2" s="1040"/>
      <c r="J2" s="1040"/>
      <c r="K2" s="1040"/>
      <c r="L2" s="1040"/>
      <c r="M2" s="1040"/>
      <c r="N2" s="1041"/>
      <c r="O2" s="1013" t="s">
        <v>778</v>
      </c>
      <c r="P2" s="1013"/>
      <c r="Q2" s="1013"/>
      <c r="R2" s="1013"/>
      <c r="S2" s="1013" t="s">
        <v>779</v>
      </c>
    </row>
    <row r="3" spans="1:19" x14ac:dyDescent="0.2">
      <c r="A3" s="1022"/>
      <c r="B3" s="1101"/>
      <c r="C3" s="1102"/>
      <c r="D3" s="1022"/>
      <c r="E3" s="1022"/>
      <c r="F3" s="1013"/>
      <c r="G3" s="1013"/>
      <c r="H3" s="1045"/>
      <c r="I3" s="1042"/>
      <c r="J3" s="1042"/>
      <c r="K3" s="1042"/>
      <c r="L3" s="1042"/>
      <c r="M3" s="1042"/>
      <c r="N3" s="1043"/>
      <c r="O3" s="1013"/>
      <c r="P3" s="1013"/>
      <c r="Q3" s="1013"/>
      <c r="R3" s="1013"/>
      <c r="S3" s="1013"/>
    </row>
    <row r="4" spans="1:19" s="639" customFormat="1" ht="30" customHeight="1" x14ac:dyDescent="0.25">
      <c r="A4" s="1022"/>
      <c r="B4" s="1025"/>
      <c r="C4" s="1026"/>
      <c r="D4" s="1022"/>
      <c r="E4" s="1022"/>
      <c r="F4" s="1016" t="s">
        <v>782</v>
      </c>
      <c r="G4" s="1016" t="s">
        <v>856</v>
      </c>
      <c r="H4" s="1016" t="s">
        <v>803</v>
      </c>
      <c r="I4" s="1016" t="s">
        <v>804</v>
      </c>
      <c r="J4" s="1016" t="s">
        <v>857</v>
      </c>
      <c r="K4" s="1016" t="s">
        <v>806</v>
      </c>
      <c r="L4" s="1016" t="s">
        <v>807</v>
      </c>
      <c r="M4" s="1016" t="s">
        <v>808</v>
      </c>
      <c r="N4" s="1016" t="s">
        <v>809</v>
      </c>
      <c r="O4" s="1013" t="s">
        <v>810</v>
      </c>
      <c r="P4" s="1013"/>
      <c r="Q4" s="1013"/>
      <c r="R4" s="1013" t="s">
        <v>781</v>
      </c>
      <c r="S4" s="1013"/>
    </row>
    <row r="5" spans="1:19" s="639" customFormat="1" ht="22.5" x14ac:dyDescent="0.25">
      <c r="A5" s="1017"/>
      <c r="B5" s="661" t="s">
        <v>895</v>
      </c>
      <c r="C5" s="661" t="s">
        <v>781</v>
      </c>
      <c r="D5" s="1017"/>
      <c r="E5" s="1017"/>
      <c r="F5" s="1017"/>
      <c r="G5" s="1017"/>
      <c r="H5" s="1017"/>
      <c r="I5" s="1017"/>
      <c r="J5" s="1017"/>
      <c r="K5" s="1017"/>
      <c r="L5" s="1017"/>
      <c r="M5" s="1017"/>
      <c r="N5" s="1017"/>
      <c r="O5" s="638" t="s">
        <v>1</v>
      </c>
      <c r="P5" s="638" t="s">
        <v>2</v>
      </c>
      <c r="Q5" s="640" t="s">
        <v>787</v>
      </c>
      <c r="R5" s="1013"/>
      <c r="S5" s="1013"/>
    </row>
    <row r="6" spans="1:19" s="639" customFormat="1" x14ac:dyDescent="0.25">
      <c r="A6" s="641" t="s">
        <v>305</v>
      </c>
      <c r="B6" s="643" t="s">
        <v>306</v>
      </c>
      <c r="C6" s="643" t="s">
        <v>307</v>
      </c>
      <c r="D6" s="641" t="s">
        <v>308</v>
      </c>
      <c r="E6" s="643" t="s">
        <v>309</v>
      </c>
      <c r="F6" s="641" t="s">
        <v>515</v>
      </c>
      <c r="G6" s="643" t="s">
        <v>637</v>
      </c>
      <c r="H6" s="641" t="s">
        <v>310</v>
      </c>
      <c r="I6" s="641" t="s">
        <v>788</v>
      </c>
      <c r="J6" s="641" t="s">
        <v>516</v>
      </c>
      <c r="K6" s="643" t="s">
        <v>705</v>
      </c>
      <c r="L6" s="643" t="s">
        <v>696</v>
      </c>
      <c r="M6" s="643" t="s">
        <v>789</v>
      </c>
      <c r="N6" s="641" t="s">
        <v>706</v>
      </c>
      <c r="O6" s="643" t="s">
        <v>791</v>
      </c>
      <c r="P6" s="643" t="s">
        <v>792</v>
      </c>
      <c r="Q6" s="643" t="s">
        <v>858</v>
      </c>
      <c r="R6" s="643" t="s">
        <v>859</v>
      </c>
      <c r="S6" s="643" t="s">
        <v>815</v>
      </c>
    </row>
    <row r="7" spans="1:19" ht="19.5" customHeight="1" x14ac:dyDescent="0.2">
      <c r="A7" s="992" t="s">
        <v>878</v>
      </c>
      <c r="B7" s="995">
        <v>375327634.50833303</v>
      </c>
      <c r="C7" s="995">
        <v>188428123.21000001</v>
      </c>
      <c r="D7" s="995">
        <f>+G18+K18</f>
        <v>392387217.80097413</v>
      </c>
      <c r="E7" s="644" t="s">
        <v>794</v>
      </c>
      <c r="F7" s="663">
        <v>853</v>
      </c>
      <c r="G7" s="656">
        <v>1546988.40999987</v>
      </c>
      <c r="H7" s="1038"/>
      <c r="I7" s="1038"/>
      <c r="J7" s="1038"/>
      <c r="K7" s="1038"/>
      <c r="L7" s="1038"/>
      <c r="M7" s="1038"/>
      <c r="N7" s="1038"/>
      <c r="O7" s="1001">
        <v>347883435.32583302</v>
      </c>
      <c r="P7" s="1001">
        <v>1546988.40999987</v>
      </c>
      <c r="Q7" s="1113">
        <f>+P7/O7</f>
        <v>4.4468584960101268E-3</v>
      </c>
      <c r="R7" s="1001">
        <v>167853313.72999999</v>
      </c>
      <c r="S7" s="1001">
        <f>+C7-R7</f>
        <v>20574809.480000019</v>
      </c>
    </row>
    <row r="8" spans="1:19" ht="19.5" customHeight="1" x14ac:dyDescent="0.2">
      <c r="A8" s="993"/>
      <c r="B8" s="996"/>
      <c r="C8" s="996"/>
      <c r="D8" s="996"/>
      <c r="E8" s="644">
        <v>2015</v>
      </c>
      <c r="F8" s="1004"/>
      <c r="G8" s="1006"/>
      <c r="H8" s="667">
        <v>17695</v>
      </c>
      <c r="I8" s="361">
        <v>43422012.870399982</v>
      </c>
      <c r="J8" s="361">
        <v>40011072.280000031</v>
      </c>
      <c r="K8" s="361">
        <v>39874791.419999994</v>
      </c>
      <c r="L8" s="361">
        <v>39874791.419999994</v>
      </c>
      <c r="M8" s="667">
        <v>17226</v>
      </c>
      <c r="N8" s="667">
        <v>33</v>
      </c>
      <c r="O8" s="1002"/>
      <c r="P8" s="1002"/>
      <c r="Q8" s="1114"/>
      <c r="R8" s="1002"/>
      <c r="S8" s="1002"/>
    </row>
    <row r="9" spans="1:19" ht="19.5" customHeight="1" x14ac:dyDescent="0.2">
      <c r="A9" s="993"/>
      <c r="B9" s="996"/>
      <c r="C9" s="996"/>
      <c r="D9" s="996"/>
      <c r="E9" s="644">
        <v>2016</v>
      </c>
      <c r="F9" s="1007"/>
      <c r="G9" s="1009"/>
      <c r="H9" s="667">
        <v>18770</v>
      </c>
      <c r="I9" s="361">
        <v>44232232.551299781</v>
      </c>
      <c r="J9" s="361">
        <v>40723475.419999816</v>
      </c>
      <c r="K9" s="361">
        <v>40801328.324499786</v>
      </c>
      <c r="L9" s="361">
        <v>40801328.324499786</v>
      </c>
      <c r="M9" s="667">
        <v>18240</v>
      </c>
      <c r="N9" s="667">
        <v>58</v>
      </c>
      <c r="O9" s="1002"/>
      <c r="P9" s="1002"/>
      <c r="Q9" s="1114"/>
      <c r="R9" s="1002"/>
      <c r="S9" s="1002"/>
    </row>
    <row r="10" spans="1:19" ht="19.5" customHeight="1" x14ac:dyDescent="0.2">
      <c r="A10" s="993"/>
      <c r="B10" s="996"/>
      <c r="C10" s="996"/>
      <c r="D10" s="996"/>
      <c r="E10" s="644">
        <v>2017</v>
      </c>
      <c r="F10" s="1007"/>
      <c r="G10" s="1009"/>
      <c r="H10" s="667">
        <v>19828</v>
      </c>
      <c r="I10" s="361">
        <v>45354452.936400168</v>
      </c>
      <c r="J10" s="361">
        <v>40658892.879999898</v>
      </c>
      <c r="K10" s="361">
        <v>40647706.829999894</v>
      </c>
      <c r="L10" s="361">
        <v>40647706.829999894</v>
      </c>
      <c r="M10" s="667">
        <v>19079</v>
      </c>
      <c r="N10" s="667">
        <v>67</v>
      </c>
      <c r="O10" s="1002"/>
      <c r="P10" s="1002"/>
      <c r="Q10" s="1114"/>
      <c r="R10" s="1002"/>
      <c r="S10" s="1002"/>
    </row>
    <row r="11" spans="1:19" ht="19.5" customHeight="1" x14ac:dyDescent="0.2">
      <c r="A11" s="993"/>
      <c r="B11" s="996"/>
      <c r="C11" s="996"/>
      <c r="D11" s="996"/>
      <c r="E11" s="644">
        <v>2018</v>
      </c>
      <c r="F11" s="1007"/>
      <c r="G11" s="1009"/>
      <c r="H11" s="667">
        <v>20360</v>
      </c>
      <c r="I11" s="361">
        <v>46756344.134500012</v>
      </c>
      <c r="J11" s="361">
        <v>43777269.620000072</v>
      </c>
      <c r="K11" s="361">
        <v>43962089.080999948</v>
      </c>
      <c r="L11" s="361">
        <v>43962089.080999948</v>
      </c>
      <c r="M11" s="667">
        <v>19988</v>
      </c>
      <c r="N11" s="667">
        <v>48</v>
      </c>
      <c r="O11" s="1002"/>
      <c r="P11" s="1002"/>
      <c r="Q11" s="1114"/>
      <c r="R11" s="1002"/>
      <c r="S11" s="1002"/>
    </row>
    <row r="12" spans="1:19" ht="19.5" customHeight="1" x14ac:dyDescent="0.2">
      <c r="A12" s="993"/>
      <c r="B12" s="996"/>
      <c r="C12" s="996"/>
      <c r="D12" s="996"/>
      <c r="E12" s="644">
        <v>2019</v>
      </c>
      <c r="F12" s="1007"/>
      <c r="G12" s="1009"/>
      <c r="H12" s="667">
        <v>20425</v>
      </c>
      <c r="I12" s="361">
        <v>47865268.981900178</v>
      </c>
      <c r="J12" s="361">
        <v>43999071.740000211</v>
      </c>
      <c r="K12" s="361">
        <v>43951575.650000215</v>
      </c>
      <c r="L12" s="361">
        <v>43951575.650000215</v>
      </c>
      <c r="M12" s="667">
        <v>20121</v>
      </c>
      <c r="N12" s="667">
        <v>25</v>
      </c>
      <c r="O12" s="1002"/>
      <c r="P12" s="1002"/>
      <c r="Q12" s="1114"/>
      <c r="R12" s="1002"/>
      <c r="S12" s="1002"/>
    </row>
    <row r="13" spans="1:19" ht="19.5" customHeight="1" x14ac:dyDescent="0.2">
      <c r="A13" s="993"/>
      <c r="B13" s="996"/>
      <c r="C13" s="996"/>
      <c r="D13" s="996"/>
      <c r="E13" s="644">
        <v>2020</v>
      </c>
      <c r="F13" s="1007"/>
      <c r="G13" s="1009"/>
      <c r="H13" s="667">
        <v>23617</v>
      </c>
      <c r="I13" s="361">
        <v>54206060.152900331</v>
      </c>
      <c r="J13" s="361">
        <v>49418094.160000108</v>
      </c>
      <c r="K13" s="361">
        <v>49150877.980000108</v>
      </c>
      <c r="L13" s="361">
        <v>49150877.980000108</v>
      </c>
      <c r="M13" s="667">
        <v>22847</v>
      </c>
      <c r="N13" s="667">
        <v>195</v>
      </c>
      <c r="O13" s="1002"/>
      <c r="P13" s="1002"/>
      <c r="Q13" s="1114"/>
      <c r="R13" s="1002"/>
      <c r="S13" s="1002"/>
    </row>
    <row r="14" spans="1:19" ht="19.5" customHeight="1" x14ac:dyDescent="0.2">
      <c r="A14" s="993"/>
      <c r="B14" s="996"/>
      <c r="C14" s="996"/>
      <c r="D14" s="996"/>
      <c r="E14" s="644">
        <v>2021</v>
      </c>
      <c r="F14" s="1007"/>
      <c r="G14" s="1009"/>
      <c r="H14" s="667">
        <v>23162</v>
      </c>
      <c r="I14" s="361">
        <v>43032123.950000107</v>
      </c>
      <c r="J14" s="361">
        <v>40684991.250000134</v>
      </c>
      <c r="K14" s="361">
        <v>40702118.520000167</v>
      </c>
      <c r="L14" s="361">
        <v>40702118.520000167</v>
      </c>
      <c r="M14" s="667">
        <v>22976</v>
      </c>
      <c r="N14" s="667">
        <v>63</v>
      </c>
      <c r="O14" s="1002"/>
      <c r="P14" s="1002"/>
      <c r="Q14" s="1114"/>
      <c r="R14" s="1002"/>
      <c r="S14" s="1002"/>
    </row>
    <row r="15" spans="1:19" ht="19.5" customHeight="1" x14ac:dyDescent="0.2">
      <c r="A15" s="994"/>
      <c r="B15" s="996"/>
      <c r="C15" s="996"/>
      <c r="D15" s="996"/>
      <c r="E15" s="727">
        <v>2022</v>
      </c>
      <c r="F15" s="1007"/>
      <c r="G15" s="1009"/>
      <c r="H15" s="667">
        <v>22595</v>
      </c>
      <c r="I15" s="361">
        <v>43053336.840000041</v>
      </c>
      <c r="J15" s="361">
        <v>40984247.360000074</v>
      </c>
      <c r="K15" s="361">
        <v>41034004.930000052</v>
      </c>
      <c r="L15" s="361">
        <v>41034004.930000052</v>
      </c>
      <c r="M15" s="667">
        <v>22442</v>
      </c>
      <c r="N15" s="667">
        <v>73</v>
      </c>
      <c r="O15" s="1002"/>
      <c r="P15" s="1002"/>
      <c r="Q15" s="1114"/>
      <c r="R15" s="1002"/>
      <c r="S15" s="1002"/>
    </row>
    <row r="16" spans="1:19" ht="19.5" customHeight="1" x14ac:dyDescent="0.2">
      <c r="A16" s="654" t="s">
        <v>622</v>
      </c>
      <c r="B16" s="996"/>
      <c r="C16" s="996"/>
      <c r="D16" s="996"/>
      <c r="E16" s="727">
        <v>2024</v>
      </c>
      <c r="F16" s="1007"/>
      <c r="G16" s="1009"/>
      <c r="H16" s="667">
        <v>2838</v>
      </c>
      <c r="I16" s="361">
        <v>9330976.1899999697</v>
      </c>
      <c r="J16" s="361">
        <v>7245055.6299999934</v>
      </c>
      <c r="K16" s="361">
        <v>9360878.3199999649</v>
      </c>
      <c r="L16" s="361">
        <v>6706368.9239999903</v>
      </c>
      <c r="M16" s="667">
        <v>2582</v>
      </c>
      <c r="N16" s="667">
        <v>249</v>
      </c>
      <c r="O16" s="1002"/>
      <c r="P16" s="1002"/>
      <c r="Q16" s="1114"/>
      <c r="R16" s="1002"/>
      <c r="S16" s="1002"/>
    </row>
    <row r="17" spans="1:19" ht="19.5" customHeight="1" x14ac:dyDescent="0.2">
      <c r="A17" s="654" t="s">
        <v>878</v>
      </c>
      <c r="B17" s="997"/>
      <c r="C17" s="997"/>
      <c r="D17" s="997"/>
      <c r="E17" s="728" t="s">
        <v>879</v>
      </c>
      <c r="F17" s="1010"/>
      <c r="G17" s="1012"/>
      <c r="H17" s="667">
        <v>21178</v>
      </c>
      <c r="I17" s="361">
        <v>43458121.130000047</v>
      </c>
      <c r="J17" s="361">
        <v>0</v>
      </c>
      <c r="K17" s="361">
        <v>41354858.335474163</v>
      </c>
      <c r="L17" s="361">
        <v>0</v>
      </c>
      <c r="M17" s="667"/>
      <c r="N17" s="667">
        <v>21178</v>
      </c>
      <c r="O17" s="1003"/>
      <c r="P17" s="1003"/>
      <c r="Q17" s="1115"/>
      <c r="R17" s="1003"/>
      <c r="S17" s="1003"/>
    </row>
    <row r="18" spans="1:19" ht="15.75" customHeight="1" x14ac:dyDescent="0.2">
      <c r="A18" s="670" t="s">
        <v>880</v>
      </c>
      <c r="B18" s="671">
        <f>+B7</f>
        <v>375327634.50833303</v>
      </c>
      <c r="C18" s="671">
        <f>+C7</f>
        <v>188428123.21000001</v>
      </c>
      <c r="D18" s="671">
        <f>+D7</f>
        <v>392387217.80097413</v>
      </c>
      <c r="E18" s="729"/>
      <c r="F18" s="655">
        <f>+F7</f>
        <v>853</v>
      </c>
      <c r="G18" s="673">
        <f>+G7</f>
        <v>1546988.40999987</v>
      </c>
      <c r="H18" s="655">
        <f>SUM(H8:H17)</f>
        <v>190468</v>
      </c>
      <c r="I18" s="673">
        <f t="shared" ref="I18:M18" si="0">SUM(I8:I17)</f>
        <v>420710929.73740065</v>
      </c>
      <c r="J18" s="673">
        <f t="shared" si="0"/>
        <v>347502170.34000033</v>
      </c>
      <c r="K18" s="673">
        <f t="shared" si="0"/>
        <v>390840229.39097428</v>
      </c>
      <c r="L18" s="673">
        <f t="shared" si="0"/>
        <v>346830861.65950012</v>
      </c>
      <c r="M18" s="655">
        <f t="shared" si="0"/>
        <v>165501</v>
      </c>
      <c r="N18" s="655">
        <f>SUM(N8:N17)</f>
        <v>21989</v>
      </c>
      <c r="O18" s="673">
        <f>SUM(O7)</f>
        <v>347883435.32583302</v>
      </c>
      <c r="P18" s="673">
        <f>SUM(P7)</f>
        <v>1546988.40999987</v>
      </c>
      <c r="Q18" s="719">
        <f>+P18/O18</f>
        <v>4.4468584960101268E-3</v>
      </c>
      <c r="R18" s="673">
        <f t="shared" ref="R18:S18" si="1">SUM(R7)</f>
        <v>167853313.72999999</v>
      </c>
      <c r="S18" s="673">
        <f t="shared" si="1"/>
        <v>20574809.480000019</v>
      </c>
    </row>
    <row r="20" spans="1:19" ht="106.5" customHeight="1" x14ac:dyDescent="0.2">
      <c r="A20" s="1049" t="s">
        <v>881</v>
      </c>
      <c r="B20" s="1049"/>
      <c r="C20" s="1049"/>
      <c r="D20" s="1049"/>
      <c r="E20" s="1049"/>
      <c r="F20" s="1049"/>
      <c r="G20" s="1049"/>
      <c r="H20" s="1049"/>
      <c r="I20" s="1049"/>
      <c r="J20" s="1049"/>
      <c r="K20" s="1049"/>
      <c r="L20" s="1049"/>
      <c r="M20" s="1049"/>
      <c r="N20" s="1049"/>
      <c r="O20" s="1049"/>
      <c r="P20" s="1049"/>
      <c r="Q20" s="1049"/>
      <c r="R20" s="1049"/>
    </row>
    <row r="21" spans="1:19" ht="11.25" customHeight="1" x14ac:dyDescent="0.2">
      <c r="A21" s="1049"/>
      <c r="B21" s="1049"/>
      <c r="C21" s="1049"/>
      <c r="D21" s="1049"/>
      <c r="E21" s="1049"/>
      <c r="F21" s="1049"/>
      <c r="G21" s="1049"/>
      <c r="H21" s="1049"/>
      <c r="I21" s="1049"/>
      <c r="J21" s="1049"/>
      <c r="K21" s="1049"/>
      <c r="L21" s="1049"/>
      <c r="M21" s="1049"/>
      <c r="N21" s="1049"/>
      <c r="O21" s="1049"/>
      <c r="P21" s="1049"/>
      <c r="Q21" s="1049"/>
      <c r="R21" s="1049"/>
    </row>
    <row r="22" spans="1:19" ht="28.5" customHeight="1" x14ac:dyDescent="0.2">
      <c r="A22" s="1112" t="s">
        <v>819</v>
      </c>
      <c r="B22" s="1112"/>
      <c r="C22" s="1112"/>
      <c r="D22" s="1112"/>
      <c r="E22" s="1112"/>
      <c r="F22" s="1112"/>
      <c r="G22" s="1112"/>
      <c r="H22" s="1112"/>
      <c r="I22" s="1112"/>
      <c r="J22" s="1112"/>
      <c r="K22" s="1112"/>
      <c r="L22" s="1112"/>
      <c r="M22" s="1112"/>
      <c r="N22" s="1112"/>
      <c r="O22" s="1112"/>
      <c r="P22" s="1112"/>
      <c r="Q22" s="1112"/>
      <c r="R22" s="1112"/>
      <c r="S22" s="1112"/>
    </row>
    <row r="26" spans="1:19" x14ac:dyDescent="0.2">
      <c r="L26" s="389"/>
    </row>
  </sheetData>
  <mergeCells count="33">
    <mergeCell ref="A1:P1"/>
    <mergeCell ref="A2:A5"/>
    <mergeCell ref="B2:C4"/>
    <mergeCell ref="D2:D5"/>
    <mergeCell ref="E2:E5"/>
    <mergeCell ref="F2:G3"/>
    <mergeCell ref="H2:N3"/>
    <mergeCell ref="O2:R3"/>
    <mergeCell ref="O4:Q4"/>
    <mergeCell ref="R4:R5"/>
    <mergeCell ref="S2:S5"/>
    <mergeCell ref="F4:F5"/>
    <mergeCell ref="G4:G5"/>
    <mergeCell ref="H4:H5"/>
    <mergeCell ref="I4:I5"/>
    <mergeCell ref="J4:J5"/>
    <mergeCell ref="K4:K5"/>
    <mergeCell ref="L4:L5"/>
    <mergeCell ref="M4:M5"/>
    <mergeCell ref="N4:N5"/>
    <mergeCell ref="A22:S22"/>
    <mergeCell ref="P7:P17"/>
    <mergeCell ref="Q7:Q17"/>
    <mergeCell ref="R7:R17"/>
    <mergeCell ref="S7:S17"/>
    <mergeCell ref="F8:G17"/>
    <mergeCell ref="A20:R21"/>
    <mergeCell ref="A7:A15"/>
    <mergeCell ref="B7:B17"/>
    <mergeCell ref="C7:C17"/>
    <mergeCell ref="D7:D17"/>
    <mergeCell ref="H7:N7"/>
    <mergeCell ref="O7:O17"/>
  </mergeCells>
  <printOptions horizontalCentered="1" verticalCentered="1"/>
  <pageMargins left="0.39370078740157483" right="0.39370078740157483" top="0.39370078740157483" bottom="0.39370078740157483" header="0.31496062992125984" footer="0.31496062992125984"/>
  <pageSetup paperSize="9" scale="54"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12D03-6187-4B88-9D2B-7FFF1736AA6D}">
  <sheetPr>
    <pageSetUpPr fitToPage="1"/>
  </sheetPr>
  <dimension ref="A1:S27"/>
  <sheetViews>
    <sheetView topLeftCell="A5" zoomScaleNormal="100" zoomScaleSheetLayoutView="100" workbookViewId="0">
      <selection activeCell="B5" sqref="B5"/>
    </sheetView>
  </sheetViews>
  <sheetFormatPr defaultColWidth="32" defaultRowHeight="11.25" x14ac:dyDescent="0.2"/>
  <cols>
    <col min="1" max="1" width="10.42578125" style="5" customWidth="1"/>
    <col min="2" max="3" width="12.5703125" style="659" customWidth="1"/>
    <col min="4" max="4" width="14.5703125" style="659" customWidth="1"/>
    <col min="5" max="5" width="13.140625" style="5" customWidth="1"/>
    <col min="6" max="6" width="8.5703125" style="5" customWidth="1"/>
    <col min="7" max="7" width="17.28515625" style="5" bestFit="1" customWidth="1"/>
    <col min="8" max="10" width="12.85546875" style="5" customWidth="1"/>
    <col min="11" max="11" width="14" style="5" customWidth="1"/>
    <col min="12" max="12" width="13.28515625" style="5" customWidth="1"/>
    <col min="13" max="13" width="11.7109375" style="5" customWidth="1"/>
    <col min="14" max="14" width="11.42578125" style="5" customWidth="1"/>
    <col min="15" max="16" width="12.140625" style="5" customWidth="1"/>
    <col min="17" max="17" width="12.5703125" style="660" customWidth="1"/>
    <col min="18" max="18" width="14.5703125" style="5" customWidth="1"/>
    <col min="19" max="19" width="14.42578125" style="5" customWidth="1"/>
    <col min="20" max="16384" width="32" style="5"/>
  </cols>
  <sheetData>
    <row r="1" spans="1:19" ht="15.75" customHeight="1" x14ac:dyDescent="0.25">
      <c r="A1" s="1021" t="s">
        <v>882</v>
      </c>
      <c r="B1" s="1021"/>
      <c r="C1" s="1021"/>
      <c r="D1" s="1021"/>
      <c r="E1" s="1021"/>
      <c r="F1" s="1021"/>
      <c r="G1" s="1021"/>
      <c r="H1" s="1021"/>
      <c r="I1" s="1021"/>
      <c r="J1" s="1021"/>
      <c r="K1" s="1021"/>
      <c r="L1" s="1021"/>
      <c r="M1" s="1021"/>
      <c r="N1" s="1021"/>
      <c r="O1" s="1021"/>
      <c r="P1" s="1021"/>
      <c r="Q1" s="1021"/>
    </row>
    <row r="2" spans="1:19" ht="21.75" customHeight="1" x14ac:dyDescent="0.2">
      <c r="A2" s="1016" t="s">
        <v>773</v>
      </c>
      <c r="B2" s="1023" t="s">
        <v>854</v>
      </c>
      <c r="C2" s="1024"/>
      <c r="D2" s="1016" t="s">
        <v>783</v>
      </c>
      <c r="E2" s="1016" t="s">
        <v>776</v>
      </c>
      <c r="F2" s="1013" t="s">
        <v>777</v>
      </c>
      <c r="G2" s="1013"/>
      <c r="H2" s="1044" t="s">
        <v>669</v>
      </c>
      <c r="I2" s="1040"/>
      <c r="J2" s="1040"/>
      <c r="K2" s="1040"/>
      <c r="L2" s="1040"/>
      <c r="M2" s="1040"/>
      <c r="N2" s="1041"/>
      <c r="O2" s="1013" t="s">
        <v>778</v>
      </c>
      <c r="P2" s="1013"/>
      <c r="Q2" s="1013"/>
      <c r="R2" s="1013"/>
      <c r="S2" s="1013" t="s">
        <v>883</v>
      </c>
    </row>
    <row r="3" spans="1:19" x14ac:dyDescent="0.2">
      <c r="A3" s="1022"/>
      <c r="B3" s="1101"/>
      <c r="C3" s="1102"/>
      <c r="D3" s="1022"/>
      <c r="E3" s="1022"/>
      <c r="F3" s="1013"/>
      <c r="G3" s="1013"/>
      <c r="H3" s="1045"/>
      <c r="I3" s="1042"/>
      <c r="J3" s="1042"/>
      <c r="K3" s="1042"/>
      <c r="L3" s="1042"/>
      <c r="M3" s="1042"/>
      <c r="N3" s="1043"/>
      <c r="O3" s="1013"/>
      <c r="P3" s="1013"/>
      <c r="Q3" s="1013"/>
      <c r="R3" s="1013"/>
      <c r="S3" s="1013"/>
    </row>
    <row r="4" spans="1:19" s="639" customFormat="1" ht="16.5" customHeight="1" x14ac:dyDescent="0.25">
      <c r="A4" s="1022"/>
      <c r="B4" s="1025"/>
      <c r="C4" s="1026"/>
      <c r="D4" s="1022"/>
      <c r="E4" s="1022"/>
      <c r="F4" s="1016" t="s">
        <v>782</v>
      </c>
      <c r="G4" s="1016" t="s">
        <v>856</v>
      </c>
      <c r="H4" s="1016" t="s">
        <v>803</v>
      </c>
      <c r="I4" s="1016" t="s">
        <v>804</v>
      </c>
      <c r="J4" s="1016" t="s">
        <v>857</v>
      </c>
      <c r="K4" s="1016" t="s">
        <v>806</v>
      </c>
      <c r="L4" s="1016" t="s">
        <v>807</v>
      </c>
      <c r="M4" s="1016" t="s">
        <v>808</v>
      </c>
      <c r="N4" s="1016" t="s">
        <v>809</v>
      </c>
      <c r="O4" s="1013" t="s">
        <v>810</v>
      </c>
      <c r="P4" s="1013"/>
      <c r="Q4" s="1013"/>
      <c r="R4" s="1013" t="s">
        <v>781</v>
      </c>
      <c r="S4" s="1013"/>
    </row>
    <row r="5" spans="1:19" s="639" customFormat="1" ht="31.5" customHeight="1" x14ac:dyDescent="0.25">
      <c r="A5" s="1017"/>
      <c r="B5" s="661" t="s">
        <v>895</v>
      </c>
      <c r="C5" s="661" t="s">
        <v>781</v>
      </c>
      <c r="D5" s="1017"/>
      <c r="E5" s="1017"/>
      <c r="F5" s="1017"/>
      <c r="G5" s="1017"/>
      <c r="H5" s="1017"/>
      <c r="I5" s="1017"/>
      <c r="J5" s="1017"/>
      <c r="K5" s="1017"/>
      <c r="L5" s="1017"/>
      <c r="M5" s="1017"/>
      <c r="N5" s="1017"/>
      <c r="O5" s="638" t="s">
        <v>1</v>
      </c>
      <c r="P5" s="638" t="s">
        <v>2</v>
      </c>
      <c r="Q5" s="640" t="s">
        <v>787</v>
      </c>
      <c r="R5" s="1013"/>
      <c r="S5" s="1013"/>
    </row>
    <row r="6" spans="1:19" s="639" customFormat="1" x14ac:dyDescent="0.25">
      <c r="A6" s="641" t="s">
        <v>305</v>
      </c>
      <c r="B6" s="643" t="s">
        <v>306</v>
      </c>
      <c r="C6" s="643" t="s">
        <v>307</v>
      </c>
      <c r="D6" s="641" t="s">
        <v>308</v>
      </c>
      <c r="E6" s="643" t="s">
        <v>309</v>
      </c>
      <c r="F6" s="641" t="s">
        <v>515</v>
      </c>
      <c r="G6" s="643" t="s">
        <v>637</v>
      </c>
      <c r="H6" s="641" t="s">
        <v>310</v>
      </c>
      <c r="I6" s="643" t="s">
        <v>788</v>
      </c>
      <c r="J6" s="643" t="s">
        <v>516</v>
      </c>
      <c r="K6" s="643" t="s">
        <v>705</v>
      </c>
      <c r="L6" s="641" t="s">
        <v>696</v>
      </c>
      <c r="M6" s="643" t="s">
        <v>789</v>
      </c>
      <c r="N6" s="643" t="s">
        <v>706</v>
      </c>
      <c r="O6" s="643" t="s">
        <v>791</v>
      </c>
      <c r="P6" s="643" t="s">
        <v>792</v>
      </c>
      <c r="Q6" s="643" t="s">
        <v>858</v>
      </c>
      <c r="R6" s="643" t="s">
        <v>859</v>
      </c>
      <c r="S6" s="643" t="s">
        <v>815</v>
      </c>
    </row>
    <row r="7" spans="1:19" ht="16.5" customHeight="1" x14ac:dyDescent="0.2">
      <c r="A7" s="992" t="s">
        <v>49</v>
      </c>
      <c r="B7" s="1099">
        <v>347707334.59100801</v>
      </c>
      <c r="C7" s="1099">
        <v>170839893.00171</v>
      </c>
      <c r="D7" s="1099">
        <f>+G17+K17</f>
        <v>346005197.30199939</v>
      </c>
      <c r="E7" s="644" t="s">
        <v>794</v>
      </c>
      <c r="F7" s="665">
        <v>1247.4637555820282</v>
      </c>
      <c r="G7" s="656">
        <v>4161665.0664507523</v>
      </c>
      <c r="H7" s="1038"/>
      <c r="I7" s="1038"/>
      <c r="J7" s="1038"/>
      <c r="K7" s="1038"/>
      <c r="L7" s="1038"/>
      <c r="M7" s="1038"/>
      <c r="N7" s="1038"/>
      <c r="O7" s="1001">
        <v>321436301.24666703</v>
      </c>
      <c r="P7" s="1001">
        <v>32588366.609999999</v>
      </c>
      <c r="Q7" s="1109">
        <f>+P7/O7</f>
        <v>0.10138359134798533</v>
      </c>
      <c r="R7" s="1001">
        <v>154300077.06999999</v>
      </c>
      <c r="S7" s="1001">
        <f>+C7-R7</f>
        <v>16539815.931710005</v>
      </c>
    </row>
    <row r="8" spans="1:19" ht="15" customHeight="1" x14ac:dyDescent="0.2">
      <c r="A8" s="993"/>
      <c r="B8" s="1100"/>
      <c r="C8" s="1100"/>
      <c r="D8" s="1100"/>
      <c r="E8" s="644">
        <v>2015</v>
      </c>
      <c r="F8" s="665">
        <v>8820</v>
      </c>
      <c r="G8" s="656">
        <v>28426701.543549247</v>
      </c>
      <c r="H8" s="1038"/>
      <c r="I8" s="1038"/>
      <c r="J8" s="1038"/>
      <c r="K8" s="1038"/>
      <c r="L8" s="1038"/>
      <c r="M8" s="1038"/>
      <c r="N8" s="1038"/>
      <c r="O8" s="1002"/>
      <c r="P8" s="1002"/>
      <c r="Q8" s="1110"/>
      <c r="R8" s="1002"/>
      <c r="S8" s="1002"/>
    </row>
    <row r="9" spans="1:19" ht="15" customHeight="1" x14ac:dyDescent="0.2">
      <c r="A9" s="993"/>
      <c r="B9" s="1100"/>
      <c r="C9" s="1100"/>
      <c r="D9" s="1100"/>
      <c r="E9" s="644">
        <v>2016</v>
      </c>
      <c r="F9" s="1004"/>
      <c r="G9" s="1006"/>
      <c r="H9" s="651">
        <v>10290</v>
      </c>
      <c r="I9" s="646">
        <v>45428205.350000143</v>
      </c>
      <c r="J9" s="646">
        <v>29297535.369999908</v>
      </c>
      <c r="K9" s="646">
        <v>29177701.53099991</v>
      </c>
      <c r="L9" s="646">
        <v>29177701.53099991</v>
      </c>
      <c r="M9" s="667">
        <v>9962</v>
      </c>
      <c r="N9" s="667">
        <v>34</v>
      </c>
      <c r="O9" s="1002"/>
      <c r="P9" s="1002"/>
      <c r="Q9" s="1110"/>
      <c r="R9" s="1002"/>
      <c r="S9" s="1002"/>
    </row>
    <row r="10" spans="1:19" ht="15" customHeight="1" x14ac:dyDescent="0.2">
      <c r="A10" s="993"/>
      <c r="B10" s="1100"/>
      <c r="C10" s="1100"/>
      <c r="D10" s="1100"/>
      <c r="E10" s="644">
        <v>2017</v>
      </c>
      <c r="F10" s="1007"/>
      <c r="G10" s="1009"/>
      <c r="H10" s="667">
        <v>10745</v>
      </c>
      <c r="I10" s="361">
        <v>47854193.449999794</v>
      </c>
      <c r="J10" s="361">
        <v>42292288.359999873</v>
      </c>
      <c r="K10" s="361">
        <v>42544607.559499852</v>
      </c>
      <c r="L10" s="361">
        <v>42544607.559499852</v>
      </c>
      <c r="M10" s="667">
        <v>10492</v>
      </c>
      <c r="N10" s="667">
        <v>39</v>
      </c>
      <c r="O10" s="1002"/>
      <c r="P10" s="1002"/>
      <c r="Q10" s="1110"/>
      <c r="R10" s="1002"/>
      <c r="S10" s="1002"/>
    </row>
    <row r="11" spans="1:19" ht="15" customHeight="1" x14ac:dyDescent="0.2">
      <c r="A11" s="993"/>
      <c r="B11" s="1100"/>
      <c r="C11" s="1100"/>
      <c r="D11" s="1100"/>
      <c r="E11" s="644">
        <v>2018</v>
      </c>
      <c r="F11" s="1007"/>
      <c r="G11" s="1009"/>
      <c r="H11" s="667">
        <v>10953</v>
      </c>
      <c r="I11" s="361">
        <v>50017502.349999815</v>
      </c>
      <c r="J11" s="361">
        <v>43240540.039999865</v>
      </c>
      <c r="K11" s="361">
        <v>43692283.535499848</v>
      </c>
      <c r="L11" s="361">
        <v>43692283.535499848</v>
      </c>
      <c r="M11" s="667">
        <v>10778</v>
      </c>
      <c r="N11" s="667">
        <v>17</v>
      </c>
      <c r="O11" s="1002"/>
      <c r="P11" s="1002"/>
      <c r="Q11" s="1110"/>
      <c r="R11" s="1002"/>
      <c r="S11" s="1002"/>
    </row>
    <row r="12" spans="1:19" ht="15" customHeight="1" x14ac:dyDescent="0.2">
      <c r="A12" s="993"/>
      <c r="B12" s="1100"/>
      <c r="C12" s="1100"/>
      <c r="D12" s="1100"/>
      <c r="E12" s="644">
        <v>2019</v>
      </c>
      <c r="F12" s="1007"/>
      <c r="G12" s="1009"/>
      <c r="H12" s="667">
        <v>10879</v>
      </c>
      <c r="I12" s="361">
        <v>49948791.700000033</v>
      </c>
      <c r="J12" s="361">
        <v>43757164.09999989</v>
      </c>
      <c r="K12" s="361">
        <v>43694419.559999906</v>
      </c>
      <c r="L12" s="361">
        <v>43694419.559999906</v>
      </c>
      <c r="M12" s="667">
        <v>10638</v>
      </c>
      <c r="N12" s="667">
        <v>14</v>
      </c>
      <c r="O12" s="1002"/>
      <c r="P12" s="1002"/>
      <c r="Q12" s="1110"/>
      <c r="R12" s="1002"/>
      <c r="S12" s="1002"/>
    </row>
    <row r="13" spans="1:19" ht="15" customHeight="1" x14ac:dyDescent="0.2">
      <c r="A13" s="993"/>
      <c r="B13" s="1100"/>
      <c r="C13" s="1100"/>
      <c r="D13" s="1100"/>
      <c r="E13" s="644">
        <v>2020</v>
      </c>
      <c r="F13" s="649"/>
      <c r="G13" s="650"/>
      <c r="H13" s="667">
        <v>10731</v>
      </c>
      <c r="I13" s="361">
        <v>49768837.349999808</v>
      </c>
      <c r="J13" s="361">
        <v>44241911.829999633</v>
      </c>
      <c r="K13" s="361">
        <v>44662735.275999703</v>
      </c>
      <c r="L13" s="361">
        <v>44662735.275999703</v>
      </c>
      <c r="M13" s="667">
        <v>10491</v>
      </c>
      <c r="N13" s="667">
        <v>11</v>
      </c>
      <c r="O13" s="1002"/>
      <c r="P13" s="1002"/>
      <c r="Q13" s="1110"/>
      <c r="R13" s="1002"/>
      <c r="S13" s="1002"/>
    </row>
    <row r="14" spans="1:19" ht="15" customHeight="1" x14ac:dyDescent="0.2">
      <c r="A14" s="993"/>
      <c r="B14" s="1100"/>
      <c r="C14" s="1100"/>
      <c r="D14" s="1100"/>
      <c r="E14" s="644">
        <v>2021</v>
      </c>
      <c r="F14" s="649"/>
      <c r="G14" s="650"/>
      <c r="H14" s="667">
        <v>10371</v>
      </c>
      <c r="I14" s="361">
        <v>47800160.550000042</v>
      </c>
      <c r="J14" s="361">
        <v>43811829.970000178</v>
      </c>
      <c r="K14" s="361">
        <v>43979547.780000173</v>
      </c>
      <c r="L14" s="361">
        <v>43979547.780000173</v>
      </c>
      <c r="M14" s="667">
        <v>10311</v>
      </c>
      <c r="N14" s="667">
        <v>33</v>
      </c>
      <c r="O14" s="1002"/>
      <c r="P14" s="1002"/>
      <c r="Q14" s="1110"/>
      <c r="R14" s="1002"/>
      <c r="S14" s="1002"/>
    </row>
    <row r="15" spans="1:19" ht="15" customHeight="1" x14ac:dyDescent="0.2">
      <c r="A15" s="993"/>
      <c r="B15" s="1100"/>
      <c r="C15" s="1100"/>
      <c r="D15" s="1100"/>
      <c r="E15" s="644">
        <v>2022</v>
      </c>
      <c r="F15" s="649"/>
      <c r="G15" s="650"/>
      <c r="H15" s="667">
        <v>10187</v>
      </c>
      <c r="I15" s="361">
        <v>45998185.649999961</v>
      </c>
      <c r="J15" s="361">
        <v>42450212.879999988</v>
      </c>
      <c r="K15" s="361">
        <v>42665535.449999981</v>
      </c>
      <c r="L15" s="361">
        <v>42665535.449999981</v>
      </c>
      <c r="M15" s="667">
        <v>10112</v>
      </c>
      <c r="N15" s="667">
        <v>28</v>
      </c>
      <c r="O15" s="1002"/>
      <c r="P15" s="1002"/>
      <c r="Q15" s="1110"/>
      <c r="R15" s="1002"/>
      <c r="S15" s="1002"/>
    </row>
    <row r="16" spans="1:19" ht="15" customHeight="1" x14ac:dyDescent="0.2">
      <c r="A16" s="994"/>
      <c r="B16" s="1116"/>
      <c r="C16" s="1116"/>
      <c r="D16" s="1116"/>
      <c r="E16" s="728">
        <v>2025</v>
      </c>
      <c r="F16" s="649"/>
      <c r="G16" s="650"/>
      <c r="H16" s="667">
        <v>8575</v>
      </c>
      <c r="I16" s="361">
        <v>39110260.099999912</v>
      </c>
      <c r="J16" s="361">
        <v>0</v>
      </c>
      <c r="K16" s="361">
        <f>29000000-6000000</f>
        <v>23000000</v>
      </c>
      <c r="L16" s="361">
        <v>0</v>
      </c>
      <c r="M16" s="667"/>
      <c r="N16" s="667">
        <v>8575</v>
      </c>
      <c r="O16" s="1003"/>
      <c r="P16" s="1003"/>
      <c r="Q16" s="1111"/>
      <c r="R16" s="1003"/>
      <c r="S16" s="1003"/>
    </row>
    <row r="17" spans="1:19" ht="15.75" customHeight="1" x14ac:dyDescent="0.2">
      <c r="A17" s="670" t="s">
        <v>884</v>
      </c>
      <c r="B17" s="671">
        <f>+B7</f>
        <v>347707334.59100801</v>
      </c>
      <c r="C17" s="671">
        <f>+C7</f>
        <v>170839893.00171</v>
      </c>
      <c r="D17" s="671">
        <f>+D7</f>
        <v>346005197.30199939</v>
      </c>
      <c r="E17" s="638"/>
      <c r="F17" s="655">
        <f>+F7+F8</f>
        <v>10067.463755582028</v>
      </c>
      <c r="G17" s="673">
        <f>+G7+G8</f>
        <v>32588366.609999999</v>
      </c>
      <c r="H17" s="730">
        <f t="shared" ref="H17:J17" si="0">SUM(H9:H16)</f>
        <v>82731</v>
      </c>
      <c r="I17" s="731">
        <f t="shared" si="0"/>
        <v>375926136.49999952</v>
      </c>
      <c r="J17" s="731">
        <f t="shared" si="0"/>
        <v>289091482.5499993</v>
      </c>
      <c r="K17" s="731">
        <f>SUM(K9:K16)</f>
        <v>313416830.69199938</v>
      </c>
      <c r="L17" s="731">
        <f t="shared" ref="L17:N17" si="1">SUM(L9:L16)</f>
        <v>290416830.69199938</v>
      </c>
      <c r="M17" s="730">
        <f t="shared" si="1"/>
        <v>72784</v>
      </c>
      <c r="N17" s="730">
        <f t="shared" si="1"/>
        <v>8751</v>
      </c>
      <c r="O17" s="673">
        <f>+O7</f>
        <v>321436301.24666703</v>
      </c>
      <c r="P17" s="673">
        <f>+P7</f>
        <v>32588366.609999999</v>
      </c>
      <c r="Q17" s="732">
        <f>+P17/O17</f>
        <v>0.10138359134798533</v>
      </c>
      <c r="R17" s="673">
        <f>SUM(R7)</f>
        <v>154300077.06999999</v>
      </c>
      <c r="S17" s="673">
        <f>SUM(S7)</f>
        <v>16539815.931710005</v>
      </c>
    </row>
    <row r="18" spans="1:19" x14ac:dyDescent="0.2">
      <c r="K18" s="389"/>
    </row>
    <row r="19" spans="1:19" ht="98.25" customHeight="1" x14ac:dyDescent="0.2">
      <c r="A19" s="1049" t="s">
        <v>861</v>
      </c>
      <c r="B19" s="1049"/>
      <c r="C19" s="1049"/>
      <c r="D19" s="1049"/>
      <c r="E19" s="1049"/>
      <c r="F19" s="1049"/>
      <c r="G19" s="1049"/>
      <c r="H19" s="1049"/>
      <c r="I19" s="1049"/>
      <c r="J19" s="1049"/>
      <c r="K19" s="1049"/>
      <c r="L19" s="1049"/>
      <c r="M19" s="1049"/>
      <c r="N19" s="1049"/>
      <c r="O19" s="1049"/>
      <c r="P19" s="1049"/>
      <c r="Q19" s="1049"/>
      <c r="R19" s="1049"/>
    </row>
    <row r="20" spans="1:19" ht="12.75" customHeight="1" x14ac:dyDescent="0.2">
      <c r="A20" s="1034"/>
      <c r="B20" s="1034"/>
      <c r="C20" s="1034"/>
      <c r="D20" s="1034"/>
      <c r="E20" s="1034"/>
      <c r="F20" s="1034"/>
      <c r="G20" s="1034"/>
      <c r="H20" s="1034"/>
      <c r="I20" s="1034"/>
      <c r="J20" s="1034"/>
      <c r="K20" s="1034"/>
      <c r="L20" s="1034"/>
      <c r="M20" s="1034"/>
      <c r="N20" s="1034"/>
      <c r="O20" s="1034"/>
      <c r="P20" s="1034"/>
      <c r="Q20" s="1034"/>
      <c r="R20" s="1034"/>
    </row>
    <row r="21" spans="1:19" ht="28.5" customHeight="1" x14ac:dyDescent="0.2">
      <c r="A21" s="988" t="s">
        <v>819</v>
      </c>
      <c r="B21" s="988"/>
      <c r="C21" s="988"/>
      <c r="D21" s="988"/>
      <c r="E21" s="988"/>
      <c r="F21" s="988"/>
      <c r="G21" s="988"/>
      <c r="H21" s="988"/>
      <c r="I21" s="988"/>
      <c r="J21" s="988"/>
      <c r="K21" s="988"/>
      <c r="L21" s="988"/>
      <c r="M21" s="988"/>
      <c r="N21" s="988"/>
      <c r="O21" s="988"/>
      <c r="P21" s="988"/>
      <c r="Q21" s="988"/>
      <c r="R21" s="988"/>
      <c r="S21" s="988"/>
    </row>
    <row r="23" spans="1:19" x14ac:dyDescent="0.2">
      <c r="G23" s="389"/>
    </row>
    <row r="24" spans="1:19" x14ac:dyDescent="0.2">
      <c r="E24" s="389"/>
      <c r="H24" s="389"/>
    </row>
    <row r="25" spans="1:19" x14ac:dyDescent="0.2">
      <c r="K25" s="389"/>
      <c r="L25" s="389"/>
      <c r="M25" s="389"/>
      <c r="O25" s="389"/>
      <c r="P25" s="389"/>
    </row>
    <row r="26" spans="1:19" x14ac:dyDescent="0.2">
      <c r="M26" s="389"/>
    </row>
    <row r="27" spans="1:19" x14ac:dyDescent="0.2">
      <c r="K27" s="389"/>
      <c r="L27" s="389"/>
    </row>
  </sheetData>
  <mergeCells count="34">
    <mergeCell ref="A1:Q1"/>
    <mergeCell ref="A2:A5"/>
    <mergeCell ref="B2:C4"/>
    <mergeCell ref="D2:D5"/>
    <mergeCell ref="E2:E5"/>
    <mergeCell ref="F2:G3"/>
    <mergeCell ref="H2:N3"/>
    <mergeCell ref="O2:R3"/>
    <mergeCell ref="O4:Q4"/>
    <mergeCell ref="R4:R5"/>
    <mergeCell ref="S2:S5"/>
    <mergeCell ref="F4:F5"/>
    <mergeCell ref="G4:G5"/>
    <mergeCell ref="H4:H5"/>
    <mergeCell ref="I4:I5"/>
    <mergeCell ref="J4:J5"/>
    <mergeCell ref="K4:K5"/>
    <mergeCell ref="L4:L5"/>
    <mergeCell ref="M4:M5"/>
    <mergeCell ref="N4:N5"/>
    <mergeCell ref="A20:R20"/>
    <mergeCell ref="A21:S21"/>
    <mergeCell ref="P7:P16"/>
    <mergeCell ref="Q7:Q16"/>
    <mergeCell ref="R7:R16"/>
    <mergeCell ref="S7:S16"/>
    <mergeCell ref="F9:G12"/>
    <mergeCell ref="A19:R19"/>
    <mergeCell ref="A7:A16"/>
    <mergeCell ref="B7:B16"/>
    <mergeCell ref="C7:C16"/>
    <mergeCell ref="D7:D16"/>
    <mergeCell ref="H7:N8"/>
    <mergeCell ref="O7:O16"/>
  </mergeCells>
  <printOptions horizontalCentered="1" verticalCentered="1"/>
  <pageMargins left="0.39370078740157483" right="0.39370078740157483" top="0.39370078740157483" bottom="0.39370078740157483" header="0.31496062992125984" footer="0.31496062992125984"/>
  <pageSetup paperSize="9" scale="57"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72180-D14C-41E1-B2F6-57E2994FEC65}">
  <sheetPr>
    <pageSetUpPr fitToPage="1"/>
  </sheetPr>
  <dimension ref="A1:S28"/>
  <sheetViews>
    <sheetView zoomScaleNormal="100" zoomScaleSheetLayoutView="90" workbookViewId="0">
      <selection activeCell="C7" sqref="C7:C18"/>
    </sheetView>
  </sheetViews>
  <sheetFormatPr defaultColWidth="32" defaultRowHeight="11.25" x14ac:dyDescent="0.2"/>
  <cols>
    <col min="1" max="1" width="10.5703125" style="5" customWidth="1"/>
    <col min="2" max="3" width="15.42578125" style="659" customWidth="1"/>
    <col min="4" max="4" width="11.28515625" style="659" customWidth="1"/>
    <col min="5" max="5" width="11" style="5" customWidth="1"/>
    <col min="6" max="6" width="8.5703125" style="5" customWidth="1"/>
    <col min="7" max="7" width="18.42578125" style="5" customWidth="1"/>
    <col min="8" max="8" width="12.140625" style="5" customWidth="1"/>
    <col min="9" max="9" width="14" style="5" customWidth="1"/>
    <col min="10" max="10" width="14.42578125" style="5" customWidth="1"/>
    <col min="11" max="11" width="15.42578125" style="5" customWidth="1"/>
    <col min="12" max="12" width="17.7109375" style="5" customWidth="1"/>
    <col min="13" max="13" width="11.28515625" style="5" customWidth="1"/>
    <col min="14" max="14" width="11.5703125" style="5" customWidth="1"/>
    <col min="15" max="16" width="11.85546875" style="5" customWidth="1"/>
    <col min="17" max="17" width="11.85546875" style="660" customWidth="1"/>
    <col min="18" max="18" width="11.85546875" style="5" customWidth="1"/>
    <col min="19" max="19" width="16.140625" style="5" customWidth="1"/>
    <col min="20" max="16384" width="32" style="5"/>
  </cols>
  <sheetData>
    <row r="1" spans="1:19" ht="15.75" customHeight="1" x14ac:dyDescent="0.25">
      <c r="A1" s="1021" t="s">
        <v>885</v>
      </c>
      <c r="B1" s="1021"/>
      <c r="C1" s="1021"/>
      <c r="D1" s="1021"/>
      <c r="E1" s="1021"/>
      <c r="F1" s="1021"/>
      <c r="G1" s="1021"/>
      <c r="H1" s="1021"/>
      <c r="I1" s="1021"/>
      <c r="J1" s="1021"/>
      <c r="K1" s="1021"/>
      <c r="L1" s="1021"/>
      <c r="M1" s="1021"/>
      <c r="N1" s="1021"/>
      <c r="O1" s="1021"/>
      <c r="P1" s="1021"/>
      <c r="Q1" s="1021"/>
    </row>
    <row r="2" spans="1:19" x14ac:dyDescent="0.2">
      <c r="A2" s="1016" t="s">
        <v>773</v>
      </c>
      <c r="B2" s="1023" t="s">
        <v>854</v>
      </c>
      <c r="C2" s="1024"/>
      <c r="D2" s="1016" t="s">
        <v>783</v>
      </c>
      <c r="E2" s="1016" t="s">
        <v>776</v>
      </c>
      <c r="F2" s="1013" t="s">
        <v>777</v>
      </c>
      <c r="G2" s="1013"/>
      <c r="H2" s="1044" t="s">
        <v>669</v>
      </c>
      <c r="I2" s="1040"/>
      <c r="J2" s="1040"/>
      <c r="K2" s="1040"/>
      <c r="L2" s="1040"/>
      <c r="M2" s="1040"/>
      <c r="N2" s="1041"/>
      <c r="O2" s="1013" t="s">
        <v>778</v>
      </c>
      <c r="P2" s="1013"/>
      <c r="Q2" s="1013"/>
      <c r="R2" s="1013"/>
      <c r="S2" s="1013" t="s">
        <v>779</v>
      </c>
    </row>
    <row r="3" spans="1:19" x14ac:dyDescent="0.2">
      <c r="A3" s="1022"/>
      <c r="B3" s="1134"/>
      <c r="C3" s="1135"/>
      <c r="D3" s="1022"/>
      <c r="E3" s="1022"/>
      <c r="F3" s="1013"/>
      <c r="G3" s="1013"/>
      <c r="H3" s="1045"/>
      <c r="I3" s="1042"/>
      <c r="J3" s="1042"/>
      <c r="K3" s="1042"/>
      <c r="L3" s="1042"/>
      <c r="M3" s="1042"/>
      <c r="N3" s="1043"/>
      <c r="O3" s="1013"/>
      <c r="P3" s="1013"/>
      <c r="Q3" s="1013"/>
      <c r="R3" s="1013"/>
      <c r="S3" s="1013"/>
    </row>
    <row r="4" spans="1:19" s="639" customFormat="1" x14ac:dyDescent="0.25">
      <c r="A4" s="1022"/>
      <c r="B4" s="1039" t="s">
        <v>895</v>
      </c>
      <c r="C4" s="1039" t="s">
        <v>781</v>
      </c>
      <c r="D4" s="1022"/>
      <c r="E4" s="1022"/>
      <c r="F4" s="1016" t="s">
        <v>782</v>
      </c>
      <c r="G4" s="1016" t="s">
        <v>886</v>
      </c>
      <c r="H4" s="1016" t="s">
        <v>887</v>
      </c>
      <c r="I4" s="1016" t="s">
        <v>888</v>
      </c>
      <c r="J4" s="1016" t="s">
        <v>889</v>
      </c>
      <c r="K4" s="1016" t="s">
        <v>890</v>
      </c>
      <c r="L4" s="1016" t="s">
        <v>891</v>
      </c>
      <c r="M4" s="1016" t="s">
        <v>892</v>
      </c>
      <c r="N4" s="1016" t="s">
        <v>893</v>
      </c>
      <c r="O4" s="1013" t="s">
        <v>810</v>
      </c>
      <c r="P4" s="1013"/>
      <c r="Q4" s="1013"/>
      <c r="R4" s="1013" t="s">
        <v>781</v>
      </c>
      <c r="S4" s="1013"/>
    </row>
    <row r="5" spans="1:19" s="639" customFormat="1" ht="33.75" customHeight="1" x14ac:dyDescent="0.25">
      <c r="A5" s="1017"/>
      <c r="B5" s="1039"/>
      <c r="C5" s="1039"/>
      <c r="D5" s="1017"/>
      <c r="E5" s="1017"/>
      <c r="F5" s="1017"/>
      <c r="G5" s="1017"/>
      <c r="H5" s="1017"/>
      <c r="I5" s="1017"/>
      <c r="J5" s="1017"/>
      <c r="K5" s="1017"/>
      <c r="L5" s="1017"/>
      <c r="M5" s="1017"/>
      <c r="N5" s="1017"/>
      <c r="O5" s="638" t="s">
        <v>1</v>
      </c>
      <c r="P5" s="638" t="s">
        <v>2</v>
      </c>
      <c r="Q5" s="640" t="s">
        <v>787</v>
      </c>
      <c r="R5" s="1013"/>
      <c r="S5" s="1013"/>
    </row>
    <row r="6" spans="1:19" s="639" customFormat="1" x14ac:dyDescent="0.25">
      <c r="A6" s="641" t="s">
        <v>305</v>
      </c>
      <c r="B6" s="643" t="s">
        <v>306</v>
      </c>
      <c r="C6" s="643" t="s">
        <v>307</v>
      </c>
      <c r="D6" s="641" t="s">
        <v>308</v>
      </c>
      <c r="E6" s="643" t="s">
        <v>309</v>
      </c>
      <c r="F6" s="641" t="s">
        <v>515</v>
      </c>
      <c r="G6" s="643" t="s">
        <v>637</v>
      </c>
      <c r="H6" s="641" t="s">
        <v>310</v>
      </c>
      <c r="I6" s="643" t="s">
        <v>788</v>
      </c>
      <c r="J6" s="643" t="s">
        <v>516</v>
      </c>
      <c r="K6" s="643" t="s">
        <v>705</v>
      </c>
      <c r="L6" s="641" t="s">
        <v>696</v>
      </c>
      <c r="M6" s="643" t="s">
        <v>789</v>
      </c>
      <c r="N6" s="643" t="s">
        <v>706</v>
      </c>
      <c r="O6" s="643" t="s">
        <v>791</v>
      </c>
      <c r="P6" s="643" t="s">
        <v>792</v>
      </c>
      <c r="Q6" s="643" t="s">
        <v>858</v>
      </c>
      <c r="R6" s="643" t="s">
        <v>859</v>
      </c>
      <c r="S6" s="643" t="s">
        <v>815</v>
      </c>
    </row>
    <row r="7" spans="1:19" ht="22.5" customHeight="1" x14ac:dyDescent="0.2">
      <c r="A7" s="992" t="s">
        <v>51</v>
      </c>
      <c r="B7" s="995">
        <v>4982260.63416667</v>
      </c>
      <c r="C7" s="995">
        <v>2488730</v>
      </c>
      <c r="D7" s="995">
        <f>+G19+K19</f>
        <v>5374580.8100000005</v>
      </c>
      <c r="E7" s="644" t="s">
        <v>794</v>
      </c>
      <c r="F7" s="665">
        <v>2</v>
      </c>
      <c r="G7" s="656">
        <v>21255.900000000023</v>
      </c>
      <c r="H7" s="1038"/>
      <c r="I7" s="1038"/>
      <c r="J7" s="1038"/>
      <c r="K7" s="1038"/>
      <c r="L7" s="1038"/>
      <c r="M7" s="1038"/>
      <c r="N7" s="1038"/>
      <c r="O7" s="1001">
        <v>4866424.3766666697</v>
      </c>
      <c r="P7" s="1001">
        <v>223525.68</v>
      </c>
      <c r="Q7" s="1109">
        <f>+P7/O7</f>
        <v>4.5932221010512704E-2</v>
      </c>
      <c r="R7" s="1001">
        <v>2401852.86</v>
      </c>
      <c r="S7" s="1001">
        <f>+C7-R7</f>
        <v>86877.14000000013</v>
      </c>
    </row>
    <row r="8" spans="1:19" ht="15" customHeight="1" x14ac:dyDescent="0.2">
      <c r="A8" s="993"/>
      <c r="B8" s="996"/>
      <c r="C8" s="996"/>
      <c r="D8" s="996"/>
      <c r="E8" s="644">
        <v>2015</v>
      </c>
      <c r="F8" s="665">
        <v>7</v>
      </c>
      <c r="G8" s="656">
        <v>143492</v>
      </c>
      <c r="H8" s="1038"/>
      <c r="I8" s="1038"/>
      <c r="J8" s="1038"/>
      <c r="K8" s="1038"/>
      <c r="L8" s="1038"/>
      <c r="M8" s="1038"/>
      <c r="N8" s="1038"/>
      <c r="O8" s="1002"/>
      <c r="P8" s="1002"/>
      <c r="Q8" s="1110"/>
      <c r="R8" s="1002"/>
      <c r="S8" s="1002"/>
    </row>
    <row r="9" spans="1:19" ht="15" customHeight="1" x14ac:dyDescent="0.2">
      <c r="A9" s="993"/>
      <c r="B9" s="996"/>
      <c r="C9" s="996"/>
      <c r="D9" s="996"/>
      <c r="E9" s="644">
        <v>2016</v>
      </c>
      <c r="F9" s="665">
        <v>6</v>
      </c>
      <c r="G9" s="656">
        <v>152324</v>
      </c>
      <c r="H9" s="667">
        <v>99</v>
      </c>
      <c r="I9" s="361">
        <v>1910180.2199999997</v>
      </c>
      <c r="J9" s="361">
        <v>652007.42000000004</v>
      </c>
      <c r="K9" s="361">
        <v>739801.54000000015</v>
      </c>
      <c r="L9" s="361">
        <v>739801.54000000015</v>
      </c>
      <c r="M9" s="667">
        <v>36</v>
      </c>
      <c r="N9" s="667">
        <v>1</v>
      </c>
      <c r="O9" s="1002"/>
      <c r="P9" s="1002"/>
      <c r="Q9" s="1110"/>
      <c r="R9" s="1002"/>
      <c r="S9" s="1002"/>
    </row>
    <row r="10" spans="1:19" ht="15" customHeight="1" x14ac:dyDescent="0.2">
      <c r="A10" s="993"/>
      <c r="B10" s="996"/>
      <c r="C10" s="996"/>
      <c r="D10" s="996"/>
      <c r="E10" s="644">
        <v>2017</v>
      </c>
      <c r="F10" s="1004"/>
      <c r="G10" s="1006"/>
      <c r="H10" s="667">
        <v>47</v>
      </c>
      <c r="I10" s="361">
        <v>980916.76</v>
      </c>
      <c r="J10" s="361">
        <v>567139.76</v>
      </c>
      <c r="K10" s="361">
        <v>560070.41</v>
      </c>
      <c r="L10" s="361">
        <v>560070.41</v>
      </c>
      <c r="M10" s="667">
        <v>32</v>
      </c>
      <c r="N10" s="667">
        <v>4</v>
      </c>
      <c r="O10" s="1002"/>
      <c r="P10" s="1002"/>
      <c r="Q10" s="1110"/>
      <c r="R10" s="1002"/>
      <c r="S10" s="1002"/>
    </row>
    <row r="11" spans="1:19" ht="15" customHeight="1" x14ac:dyDescent="0.2">
      <c r="A11" s="993"/>
      <c r="B11" s="996"/>
      <c r="C11" s="996"/>
      <c r="D11" s="996"/>
      <c r="E11" s="644">
        <v>2018</v>
      </c>
      <c r="F11" s="1007"/>
      <c r="G11" s="1009"/>
      <c r="H11" s="667">
        <v>36</v>
      </c>
      <c r="I11" s="361">
        <v>760938.16000000015</v>
      </c>
      <c r="J11" s="361">
        <v>578029.29999999993</v>
      </c>
      <c r="K11" s="361">
        <v>570098.1</v>
      </c>
      <c r="L11" s="361">
        <v>570098.1</v>
      </c>
      <c r="M11" s="667">
        <v>31</v>
      </c>
      <c r="N11" s="667">
        <v>3</v>
      </c>
      <c r="O11" s="1002"/>
      <c r="P11" s="1002"/>
      <c r="Q11" s="1110"/>
      <c r="R11" s="1002"/>
      <c r="S11" s="1002"/>
    </row>
    <row r="12" spans="1:19" ht="15" customHeight="1" x14ac:dyDescent="0.2">
      <c r="A12" s="993"/>
      <c r="B12" s="996"/>
      <c r="C12" s="996"/>
      <c r="D12" s="996"/>
      <c r="E12" s="644">
        <v>2019</v>
      </c>
      <c r="F12" s="1007"/>
      <c r="G12" s="1009"/>
      <c r="H12" s="667">
        <v>40</v>
      </c>
      <c r="I12" s="361">
        <v>904913.78000000026</v>
      </c>
      <c r="J12" s="361">
        <v>605433.12000000011</v>
      </c>
      <c r="K12" s="361">
        <v>587796.74000000011</v>
      </c>
      <c r="L12" s="361">
        <v>597912.16</v>
      </c>
      <c r="M12" s="667">
        <v>32</v>
      </c>
      <c r="N12" s="667">
        <v>2</v>
      </c>
      <c r="O12" s="1002"/>
      <c r="P12" s="1002"/>
      <c r="Q12" s="1110"/>
      <c r="R12" s="1002"/>
      <c r="S12" s="1002"/>
    </row>
    <row r="13" spans="1:19" ht="15" customHeight="1" x14ac:dyDescent="0.2">
      <c r="A13" s="993"/>
      <c r="B13" s="996"/>
      <c r="C13" s="996"/>
      <c r="D13" s="996"/>
      <c r="E13" s="644">
        <v>2020</v>
      </c>
      <c r="F13" s="1007"/>
      <c r="G13" s="1009"/>
      <c r="H13" s="667">
        <v>52</v>
      </c>
      <c r="I13" s="361">
        <v>943011.12</v>
      </c>
      <c r="J13" s="361">
        <v>662586.1399999999</v>
      </c>
      <c r="K13" s="361">
        <v>641366.61999999988</v>
      </c>
      <c r="L13" s="361">
        <v>641366.61999999988</v>
      </c>
      <c r="M13" s="667">
        <v>37</v>
      </c>
      <c r="N13" s="667">
        <v>6</v>
      </c>
      <c r="O13" s="1002"/>
      <c r="P13" s="1002"/>
      <c r="Q13" s="1110"/>
      <c r="R13" s="1002"/>
      <c r="S13" s="1002"/>
    </row>
    <row r="14" spans="1:19" ht="15" customHeight="1" x14ac:dyDescent="0.2">
      <c r="A14" s="993"/>
      <c r="B14" s="996"/>
      <c r="C14" s="996"/>
      <c r="D14" s="996"/>
      <c r="E14" s="644">
        <v>2021</v>
      </c>
      <c r="F14" s="1007"/>
      <c r="G14" s="1009"/>
      <c r="H14" s="667">
        <v>29</v>
      </c>
      <c r="I14" s="361">
        <v>598502.02</v>
      </c>
      <c r="J14" s="361">
        <v>563070.74000000011</v>
      </c>
      <c r="K14" s="361">
        <v>436193.20000000007</v>
      </c>
      <c r="L14" s="361">
        <v>436193.20000000007</v>
      </c>
      <c r="M14" s="667">
        <v>18</v>
      </c>
      <c r="N14" s="667">
        <v>2</v>
      </c>
      <c r="O14" s="1002"/>
      <c r="P14" s="1002"/>
      <c r="Q14" s="1110"/>
      <c r="R14" s="1002"/>
      <c r="S14" s="1002"/>
    </row>
    <row r="15" spans="1:19" ht="15" customHeight="1" x14ac:dyDescent="0.2">
      <c r="A15" s="993"/>
      <c r="B15" s="996"/>
      <c r="C15" s="996"/>
      <c r="D15" s="996"/>
      <c r="E15" s="644">
        <v>2022</v>
      </c>
      <c r="F15" s="1007"/>
      <c r="G15" s="1009"/>
      <c r="H15" s="667">
        <v>20</v>
      </c>
      <c r="I15" s="361">
        <v>467597.51999999996</v>
      </c>
      <c r="J15" s="361">
        <v>422182.30000000005</v>
      </c>
      <c r="K15" s="361">
        <v>422182.30000000005</v>
      </c>
      <c r="L15" s="361">
        <v>422182.30000000005</v>
      </c>
      <c r="M15" s="667">
        <v>17</v>
      </c>
      <c r="N15" s="667">
        <v>1</v>
      </c>
      <c r="O15" s="1002"/>
      <c r="P15" s="1002"/>
      <c r="Q15" s="1110"/>
      <c r="R15" s="1002"/>
      <c r="S15" s="1002"/>
    </row>
    <row r="16" spans="1:19" ht="15" customHeight="1" x14ac:dyDescent="0.2">
      <c r="A16" s="993"/>
      <c r="B16" s="996"/>
      <c r="C16" s="996"/>
      <c r="D16" s="996"/>
      <c r="E16" s="644">
        <v>2023</v>
      </c>
      <c r="F16" s="1007"/>
      <c r="G16" s="1009"/>
      <c r="H16" s="667">
        <v>20</v>
      </c>
      <c r="I16" s="361">
        <v>432038.04000000004</v>
      </c>
      <c r="J16" s="361">
        <v>352060.50000000006</v>
      </c>
      <c r="K16" s="361">
        <v>450000</v>
      </c>
      <c r="L16" s="361">
        <v>352060.50000000006</v>
      </c>
      <c r="M16" s="667">
        <v>16</v>
      </c>
      <c r="N16" s="667">
        <v>2</v>
      </c>
      <c r="O16" s="1002"/>
      <c r="P16" s="1002"/>
      <c r="Q16" s="1110"/>
      <c r="R16" s="1002"/>
      <c r="S16" s="1002"/>
    </row>
    <row r="17" spans="1:19" ht="15" customHeight="1" x14ac:dyDescent="0.2">
      <c r="A17" s="993"/>
      <c r="B17" s="996"/>
      <c r="C17" s="996"/>
      <c r="D17" s="996"/>
      <c r="E17" s="644">
        <v>2024</v>
      </c>
      <c r="F17" s="1007"/>
      <c r="G17" s="1009"/>
      <c r="H17" s="667">
        <v>16</v>
      </c>
      <c r="I17" s="361">
        <v>355898.15999999992</v>
      </c>
      <c r="J17" s="361">
        <v>341866.63</v>
      </c>
      <c r="K17" s="361">
        <v>390000</v>
      </c>
      <c r="L17" s="361">
        <v>341866.63</v>
      </c>
      <c r="M17" s="667">
        <v>14</v>
      </c>
      <c r="N17" s="667">
        <v>2</v>
      </c>
      <c r="O17" s="1002"/>
      <c r="P17" s="1002"/>
      <c r="Q17" s="1110"/>
      <c r="R17" s="1002"/>
      <c r="S17" s="1002"/>
    </row>
    <row r="18" spans="1:19" ht="15" customHeight="1" x14ac:dyDescent="0.2">
      <c r="A18" s="994"/>
      <c r="B18" s="997"/>
      <c r="C18" s="997"/>
      <c r="D18" s="997"/>
      <c r="E18" s="733">
        <v>2025</v>
      </c>
      <c r="F18" s="734"/>
      <c r="G18" s="735"/>
      <c r="H18" s="667">
        <v>6</v>
      </c>
      <c r="I18" s="361">
        <v>0</v>
      </c>
      <c r="J18" s="361"/>
      <c r="K18" s="361">
        <v>260000</v>
      </c>
      <c r="L18" s="361">
        <v>0</v>
      </c>
      <c r="M18" s="667"/>
      <c r="N18" s="667">
        <v>6</v>
      </c>
      <c r="O18" s="1003"/>
      <c r="P18" s="1003"/>
      <c r="Q18" s="1111"/>
      <c r="R18" s="1003"/>
      <c r="S18" s="1003"/>
    </row>
    <row r="19" spans="1:19" ht="15.75" customHeight="1" x14ac:dyDescent="0.2">
      <c r="A19" s="670" t="s">
        <v>894</v>
      </c>
      <c r="B19" s="671">
        <f>+B7</f>
        <v>4982260.63416667</v>
      </c>
      <c r="C19" s="671">
        <f>+C7</f>
        <v>2488730</v>
      </c>
      <c r="D19" s="671">
        <f>+D7</f>
        <v>5374580.8100000005</v>
      </c>
      <c r="E19" s="736"/>
      <c r="F19" s="655">
        <f>SUM(F7:F9)</f>
        <v>15</v>
      </c>
      <c r="G19" s="673">
        <f>SUM(G7:G9)</f>
        <v>317071.90000000002</v>
      </c>
      <c r="H19" s="655">
        <f t="shared" ref="H19:N19" si="0">SUM(H9:H18)</f>
        <v>365</v>
      </c>
      <c r="I19" s="673">
        <f t="shared" si="0"/>
        <v>7353995.7800000003</v>
      </c>
      <c r="J19" s="673">
        <f t="shared" si="0"/>
        <v>4744375.91</v>
      </c>
      <c r="K19" s="673">
        <f t="shared" si="0"/>
        <v>5057508.91</v>
      </c>
      <c r="L19" s="673">
        <f t="shared" si="0"/>
        <v>4661551.46</v>
      </c>
      <c r="M19" s="655">
        <f t="shared" si="0"/>
        <v>233</v>
      </c>
      <c r="N19" s="655">
        <f t="shared" si="0"/>
        <v>29</v>
      </c>
      <c r="O19" s="671">
        <f>+O7</f>
        <v>4866424.3766666697</v>
      </c>
      <c r="P19" s="671">
        <f>+P7</f>
        <v>223525.68</v>
      </c>
      <c r="Q19" s="647">
        <f>+P19/O19</f>
        <v>4.5932221010512704E-2</v>
      </c>
      <c r="R19" s="671">
        <f>+R7</f>
        <v>2401852.86</v>
      </c>
      <c r="S19" s="671">
        <f>+S7</f>
        <v>86877.14000000013</v>
      </c>
    </row>
    <row r="21" spans="1:19" ht="98.25" customHeight="1" x14ac:dyDescent="0.2">
      <c r="A21" s="1049" t="s">
        <v>818</v>
      </c>
      <c r="B21" s="1049"/>
      <c r="C21" s="1049"/>
      <c r="D21" s="1049"/>
      <c r="E21" s="1049"/>
      <c r="F21" s="1049"/>
      <c r="G21" s="1049"/>
      <c r="H21" s="1049"/>
      <c r="I21" s="1049"/>
      <c r="J21" s="1049"/>
      <c r="K21" s="1049"/>
      <c r="L21" s="1049"/>
      <c r="M21" s="1049"/>
      <c r="N21" s="1049"/>
      <c r="O21" s="1049"/>
      <c r="P21" s="1049"/>
      <c r="Q21" s="1049"/>
      <c r="R21" s="1049"/>
    </row>
    <row r="22" spans="1:19" ht="10.5" customHeight="1" x14ac:dyDescent="0.2">
      <c r="A22" s="1049"/>
      <c r="B22" s="1049"/>
      <c r="C22" s="1049"/>
      <c r="D22" s="1049"/>
      <c r="E22" s="1049"/>
      <c r="F22" s="1049"/>
      <c r="G22" s="1049"/>
      <c r="H22" s="1049"/>
      <c r="I22" s="1049"/>
      <c r="J22" s="1049"/>
      <c r="K22" s="1049"/>
      <c r="L22" s="1049"/>
      <c r="M22" s="1049"/>
      <c r="N22" s="1049"/>
      <c r="O22" s="1049"/>
      <c r="P22" s="1049"/>
      <c r="Q22" s="1049"/>
      <c r="R22" s="1049"/>
    </row>
    <row r="23" spans="1:19" ht="27" customHeight="1" x14ac:dyDescent="0.2">
      <c r="A23" s="988" t="s">
        <v>819</v>
      </c>
      <c r="B23" s="988"/>
      <c r="C23" s="988"/>
      <c r="D23" s="988"/>
      <c r="E23" s="988"/>
      <c r="F23" s="988"/>
      <c r="G23" s="988"/>
      <c r="H23" s="988"/>
      <c r="I23" s="988"/>
      <c r="J23" s="988"/>
      <c r="K23" s="988"/>
      <c r="L23" s="988"/>
      <c r="M23" s="988"/>
      <c r="N23" s="988"/>
      <c r="O23" s="988"/>
      <c r="P23" s="988"/>
      <c r="Q23" s="988"/>
      <c r="R23" s="988"/>
    </row>
    <row r="25" spans="1:19" x14ac:dyDescent="0.2">
      <c r="O25" s="389"/>
      <c r="P25" s="389"/>
    </row>
    <row r="26" spans="1:19" x14ac:dyDescent="0.2">
      <c r="E26" s="389"/>
      <c r="H26" s="389"/>
      <c r="I26" s="389"/>
      <c r="J26" s="389"/>
      <c r="K26" s="389"/>
      <c r="L26" s="389"/>
    </row>
    <row r="28" spans="1:19" x14ac:dyDescent="0.2">
      <c r="E28" s="389"/>
    </row>
  </sheetData>
  <mergeCells count="35">
    <mergeCell ref="A1:Q1"/>
    <mergeCell ref="A2:A5"/>
    <mergeCell ref="D2:D5"/>
    <mergeCell ref="E2:E5"/>
    <mergeCell ref="F2:G3"/>
    <mergeCell ref="H2:N3"/>
    <mergeCell ref="O2:R3"/>
    <mergeCell ref="O4:Q4"/>
    <mergeCell ref="R4:R5"/>
    <mergeCell ref="B2:C2"/>
    <mergeCell ref="B4:B5"/>
    <mergeCell ref="C4:C5"/>
    <mergeCell ref="S2:S5"/>
    <mergeCell ref="F4:F5"/>
    <mergeCell ref="G4:G5"/>
    <mergeCell ref="H4:H5"/>
    <mergeCell ref="I4:I5"/>
    <mergeCell ref="J4:J5"/>
    <mergeCell ref="K4:K5"/>
    <mergeCell ref="L4:L5"/>
    <mergeCell ref="M4:M5"/>
    <mergeCell ref="N4:N5"/>
    <mergeCell ref="A23:R23"/>
    <mergeCell ref="P7:P18"/>
    <mergeCell ref="Q7:Q18"/>
    <mergeCell ref="R7:R18"/>
    <mergeCell ref="S7:S18"/>
    <mergeCell ref="F10:G17"/>
    <mergeCell ref="A21:R22"/>
    <mergeCell ref="A7:A18"/>
    <mergeCell ref="B7:B18"/>
    <mergeCell ref="C7:C18"/>
    <mergeCell ref="D7:D18"/>
    <mergeCell ref="H7:N8"/>
    <mergeCell ref="O7:O18"/>
  </mergeCells>
  <printOptions horizontalCentered="1" verticalCentered="1"/>
  <pageMargins left="0.39370078740157483" right="0.39370078740157483" top="0.39370078740157483" bottom="0.39370078740157483" header="0.31496062992125984" footer="0.31496062992125984"/>
  <pageSetup paperSize="9" scale="57"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C56"/>
  <sheetViews>
    <sheetView view="pageBreakPreview" topLeftCell="A37" zoomScaleNormal="100" zoomScaleSheetLayoutView="100" workbookViewId="0">
      <selection activeCell="S44" sqref="S44"/>
    </sheetView>
  </sheetViews>
  <sheetFormatPr defaultColWidth="8.7109375" defaultRowHeight="15" x14ac:dyDescent="0.25"/>
  <cols>
    <col min="1" max="1" width="11.7109375" customWidth="1"/>
    <col min="2" max="2" width="6" customWidth="1"/>
    <col min="3" max="3" width="9.7109375" customWidth="1"/>
    <col min="5" max="5" width="4.140625" customWidth="1"/>
    <col min="7" max="7" width="3.140625" bestFit="1" customWidth="1"/>
    <col min="8" max="8" width="6.85546875" customWidth="1"/>
    <col min="9" max="9" width="3.7109375" bestFit="1" customWidth="1"/>
    <col min="10" max="10" width="9.5703125" bestFit="1" customWidth="1"/>
    <col min="11" max="11" width="3.140625" bestFit="1" customWidth="1"/>
    <col min="12" max="12" width="4" customWidth="1"/>
    <col min="13" max="13" width="10.140625" customWidth="1"/>
    <col min="14" max="14" width="3.5703125" customWidth="1"/>
    <col min="15" max="15" width="10.5703125" customWidth="1"/>
    <col min="16" max="16" width="9.42578125" customWidth="1"/>
    <col min="17" max="17" width="7.7109375" bestFit="1" customWidth="1"/>
    <col min="18" max="18" width="4.42578125" bestFit="1" customWidth="1"/>
    <col min="19" max="19" width="9.5703125" customWidth="1"/>
    <col min="20" max="20" width="4.140625" customWidth="1"/>
    <col min="21" max="21" width="10.28515625" customWidth="1"/>
    <col min="22" max="22" width="3.140625" bestFit="1" customWidth="1"/>
    <col min="23" max="23" width="10.85546875" customWidth="1"/>
    <col min="24" max="24" width="3.140625" bestFit="1" customWidth="1"/>
    <col min="26" max="26" width="3.140625" bestFit="1" customWidth="1"/>
    <col min="28" max="28" width="12" bestFit="1" customWidth="1"/>
    <col min="29" max="29" width="10.28515625" bestFit="1" customWidth="1"/>
  </cols>
  <sheetData>
    <row r="1" spans="1:29" x14ac:dyDescent="0.25">
      <c r="A1" s="44" t="s">
        <v>214</v>
      </c>
      <c r="B1" s="44"/>
    </row>
    <row r="2" spans="1:29" s="12" customFormat="1" ht="28.9" customHeight="1" x14ac:dyDescent="0.2">
      <c r="A2" s="943" t="s">
        <v>156</v>
      </c>
      <c r="B2" s="943" t="s">
        <v>282</v>
      </c>
      <c r="C2" s="943" t="s">
        <v>157</v>
      </c>
      <c r="D2" s="943" t="s">
        <v>158</v>
      </c>
      <c r="E2" s="937" t="s">
        <v>337</v>
      </c>
      <c r="F2" s="938"/>
      <c r="G2" s="937" t="s">
        <v>277</v>
      </c>
      <c r="H2" s="938"/>
      <c r="I2" s="937" t="s">
        <v>159</v>
      </c>
      <c r="J2" s="938"/>
      <c r="K2" s="947" t="s">
        <v>752</v>
      </c>
      <c r="L2" s="948"/>
      <c r="M2" s="948"/>
      <c r="N2" s="948"/>
      <c r="O2" s="949"/>
      <c r="P2" s="943" t="s">
        <v>250</v>
      </c>
      <c r="Q2" s="943" t="s">
        <v>625</v>
      </c>
      <c r="R2" s="937" t="s">
        <v>750</v>
      </c>
      <c r="S2" s="938"/>
      <c r="T2" s="937" t="s">
        <v>751</v>
      </c>
      <c r="U2" s="938"/>
      <c r="V2" s="936" t="s">
        <v>751</v>
      </c>
      <c r="W2" s="936"/>
      <c r="X2" s="936"/>
      <c r="Y2" s="936"/>
      <c r="Z2" s="936"/>
      <c r="AA2" s="936"/>
    </row>
    <row r="3" spans="1:29" s="12" customFormat="1" ht="14.45" customHeight="1" x14ac:dyDescent="0.2">
      <c r="A3" s="944"/>
      <c r="B3" s="944"/>
      <c r="C3" s="944"/>
      <c r="D3" s="944"/>
      <c r="E3" s="939"/>
      <c r="F3" s="940"/>
      <c r="G3" s="939"/>
      <c r="H3" s="940"/>
      <c r="I3" s="939"/>
      <c r="J3" s="940"/>
      <c r="K3" s="947" t="s">
        <v>160</v>
      </c>
      <c r="L3" s="948"/>
      <c r="M3" s="949"/>
      <c r="N3" s="937" t="s">
        <v>626</v>
      </c>
      <c r="O3" s="938"/>
      <c r="P3" s="944"/>
      <c r="Q3" s="944"/>
      <c r="R3" s="939"/>
      <c r="S3" s="940"/>
      <c r="T3" s="939"/>
      <c r="U3" s="940"/>
      <c r="V3" s="936"/>
      <c r="W3" s="936"/>
      <c r="X3" s="936"/>
      <c r="Y3" s="936"/>
      <c r="Z3" s="936"/>
      <c r="AA3" s="936"/>
    </row>
    <row r="4" spans="1:29" s="12" customFormat="1" ht="20.25" customHeight="1" x14ac:dyDescent="0.2">
      <c r="A4" s="944"/>
      <c r="B4" s="944"/>
      <c r="C4" s="944"/>
      <c r="D4" s="944"/>
      <c r="E4" s="941"/>
      <c r="F4" s="942"/>
      <c r="G4" s="941"/>
      <c r="H4" s="942"/>
      <c r="I4" s="941"/>
      <c r="J4" s="942"/>
      <c r="K4" s="950" t="s">
        <v>161</v>
      </c>
      <c r="L4" s="947" t="s">
        <v>247</v>
      </c>
      <c r="M4" s="949"/>
      <c r="N4" s="941"/>
      <c r="O4" s="942"/>
      <c r="P4" s="946"/>
      <c r="Q4" s="946"/>
      <c r="R4" s="941"/>
      <c r="S4" s="942"/>
      <c r="T4" s="941"/>
      <c r="U4" s="942"/>
      <c r="V4" s="936" t="s">
        <v>584</v>
      </c>
      <c r="W4" s="936"/>
      <c r="X4" s="936" t="s">
        <v>585</v>
      </c>
      <c r="Y4" s="936"/>
      <c r="Z4" s="936" t="s">
        <v>586</v>
      </c>
      <c r="AA4" s="936"/>
    </row>
    <row r="5" spans="1:29" s="12" customFormat="1" ht="21" x14ac:dyDescent="0.2">
      <c r="A5" s="945"/>
      <c r="B5" s="945"/>
      <c r="C5" s="945"/>
      <c r="D5" s="945"/>
      <c r="E5" s="154" t="s">
        <v>161</v>
      </c>
      <c r="F5" s="125" t="s">
        <v>162</v>
      </c>
      <c r="G5" s="15" t="s">
        <v>161</v>
      </c>
      <c r="H5" s="16" t="s">
        <v>162</v>
      </c>
      <c r="I5" s="154" t="s">
        <v>161</v>
      </c>
      <c r="J5" s="125" t="s">
        <v>162</v>
      </c>
      <c r="K5" s="951"/>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9" s="23" customFormat="1" ht="22.5" x14ac:dyDescent="0.25">
      <c r="A6" s="190" t="s">
        <v>102</v>
      </c>
      <c r="B6" s="57">
        <v>5421</v>
      </c>
      <c r="C6" s="151">
        <v>935530.42</v>
      </c>
      <c r="D6" s="31">
        <v>42993</v>
      </c>
      <c r="E6" s="174">
        <v>30</v>
      </c>
      <c r="F6" s="175">
        <v>1469597.73</v>
      </c>
      <c r="G6" s="175">
        <v>0</v>
      </c>
      <c r="H6" s="175">
        <v>0</v>
      </c>
      <c r="I6" s="138">
        <v>13</v>
      </c>
      <c r="J6" s="83">
        <v>507036.6100000001</v>
      </c>
      <c r="K6" s="174">
        <v>13</v>
      </c>
      <c r="L6" s="138">
        <v>13</v>
      </c>
      <c r="M6" s="83">
        <v>507036.6100000001</v>
      </c>
      <c r="N6" s="174">
        <v>11</v>
      </c>
      <c r="O6" s="83">
        <v>548924.37</v>
      </c>
      <c r="P6" s="82">
        <v>0</v>
      </c>
      <c r="Q6" s="58">
        <f>C6-M6</f>
        <v>428493.80999999994</v>
      </c>
      <c r="R6" s="328">
        <v>13</v>
      </c>
      <c r="S6" s="83">
        <v>527094.59</v>
      </c>
      <c r="T6" s="138">
        <v>13</v>
      </c>
      <c r="U6" s="83">
        <v>507036.6100000001</v>
      </c>
      <c r="V6" s="22">
        <v>0</v>
      </c>
      <c r="W6" s="22">
        <v>0</v>
      </c>
      <c r="X6" s="22">
        <v>0</v>
      </c>
      <c r="Y6" s="22">
        <v>0</v>
      </c>
      <c r="Z6" s="22">
        <v>13</v>
      </c>
      <c r="AA6" s="22">
        <v>507036.60999999987</v>
      </c>
    </row>
    <row r="7" spans="1:29" s="23" customFormat="1" ht="33.75" x14ac:dyDescent="0.25">
      <c r="A7" s="191" t="s">
        <v>246</v>
      </c>
      <c r="B7" s="57">
        <v>40084</v>
      </c>
      <c r="C7" s="176">
        <v>9907279</v>
      </c>
      <c r="D7" s="106">
        <v>44151</v>
      </c>
      <c r="E7" s="174">
        <v>66</v>
      </c>
      <c r="F7" s="175">
        <v>30826319.839999985</v>
      </c>
      <c r="G7" s="175">
        <v>0</v>
      </c>
      <c r="H7" s="175">
        <v>0</v>
      </c>
      <c r="I7" s="57">
        <v>22</v>
      </c>
      <c r="J7" s="410">
        <v>9784849.5600000005</v>
      </c>
      <c r="K7" s="57">
        <v>22</v>
      </c>
      <c r="L7" s="363">
        <v>22</v>
      </c>
      <c r="M7" s="410">
        <v>9784849.5600000005</v>
      </c>
      <c r="N7" s="57">
        <v>22</v>
      </c>
      <c r="O7" s="81">
        <v>10304422.9</v>
      </c>
      <c r="P7" s="82">
        <f>J7-M7</f>
        <v>0</v>
      </c>
      <c r="Q7" s="58">
        <f>C7-J7</f>
        <v>122429.43999999948</v>
      </c>
      <c r="R7" s="329">
        <v>17</v>
      </c>
      <c r="S7" s="58">
        <v>4510620.9899999993</v>
      </c>
      <c r="T7" s="138">
        <v>10</v>
      </c>
      <c r="U7" s="83">
        <v>2156934.13</v>
      </c>
      <c r="V7" s="22">
        <v>0</v>
      </c>
      <c r="W7" s="22">
        <v>0</v>
      </c>
      <c r="X7" s="22">
        <v>5</v>
      </c>
      <c r="Y7" s="22">
        <v>891087.95000000007</v>
      </c>
      <c r="Z7" s="22">
        <v>3</v>
      </c>
      <c r="AA7" s="22">
        <v>1265846.18</v>
      </c>
    </row>
    <row r="8" spans="1:29" x14ac:dyDescent="0.25">
      <c r="A8" s="59" t="s">
        <v>215</v>
      </c>
      <c r="B8" s="59"/>
      <c r="C8" s="60">
        <f>SUM(C6:C7)</f>
        <v>10842809.42</v>
      </c>
      <c r="D8" s="60"/>
      <c r="E8" s="60">
        <f t="shared" ref="E8:AA8" si="0">SUM(E6:E7)</f>
        <v>96</v>
      </c>
      <c r="F8" s="60">
        <f t="shared" si="0"/>
        <v>32295917.569999985</v>
      </c>
      <c r="G8" s="60">
        <f t="shared" si="0"/>
        <v>0</v>
      </c>
      <c r="H8" s="60">
        <f t="shared" si="0"/>
        <v>0</v>
      </c>
      <c r="I8" s="60">
        <f t="shared" si="0"/>
        <v>35</v>
      </c>
      <c r="J8" s="60">
        <f t="shared" si="0"/>
        <v>10291886.17</v>
      </c>
      <c r="K8" s="60">
        <f t="shared" si="0"/>
        <v>35</v>
      </c>
      <c r="L8" s="60">
        <f t="shared" si="0"/>
        <v>35</v>
      </c>
      <c r="M8" s="60">
        <f t="shared" si="0"/>
        <v>10291886.17</v>
      </c>
      <c r="N8" s="60">
        <f t="shared" si="0"/>
        <v>33</v>
      </c>
      <c r="O8" s="60">
        <f t="shared" si="0"/>
        <v>10853347.27</v>
      </c>
      <c r="P8" s="60">
        <f t="shared" si="0"/>
        <v>0</v>
      </c>
      <c r="Q8" s="60">
        <f t="shared" si="0"/>
        <v>550923.24999999942</v>
      </c>
      <c r="R8" s="60">
        <f t="shared" si="0"/>
        <v>30</v>
      </c>
      <c r="S8" s="60">
        <f t="shared" si="0"/>
        <v>5037715.5799999991</v>
      </c>
      <c r="T8" s="60">
        <f t="shared" si="0"/>
        <v>23</v>
      </c>
      <c r="U8" s="60">
        <f t="shared" si="0"/>
        <v>2663970.7400000002</v>
      </c>
      <c r="V8" s="60">
        <f>SUM(V6:V7)</f>
        <v>0</v>
      </c>
      <c r="W8" s="60">
        <f t="shared" si="0"/>
        <v>0</v>
      </c>
      <c r="X8" s="60">
        <f t="shared" si="0"/>
        <v>5</v>
      </c>
      <c r="Y8" s="60">
        <f t="shared" si="0"/>
        <v>891087.95000000007</v>
      </c>
      <c r="Z8" s="60">
        <f t="shared" si="0"/>
        <v>16</v>
      </c>
      <c r="AA8" s="60">
        <f t="shared" si="0"/>
        <v>1772882.7899999998</v>
      </c>
    </row>
    <row r="9" spans="1:29" ht="10.9" customHeight="1" x14ac:dyDescent="0.25">
      <c r="A9" s="1117"/>
      <c r="B9" s="1117"/>
      <c r="C9" s="1117"/>
      <c r="D9" s="1117"/>
      <c r="E9" s="1117"/>
      <c r="F9" s="1117"/>
      <c r="G9" s="1117"/>
      <c r="H9" s="1117"/>
      <c r="I9" s="1117"/>
      <c r="J9" s="1117"/>
      <c r="K9" s="1117"/>
      <c r="L9" s="1117"/>
      <c r="M9" s="1117"/>
      <c r="N9" s="1117"/>
      <c r="O9" s="1117"/>
      <c r="P9" s="1117"/>
      <c r="Q9" s="1117"/>
      <c r="R9" s="1117"/>
      <c r="S9" s="1117"/>
      <c r="T9" s="1117"/>
      <c r="U9" s="1117"/>
      <c r="V9" s="1117"/>
      <c r="W9" s="1117"/>
      <c r="X9" s="1117"/>
      <c r="Y9" s="1117"/>
      <c r="Z9" s="1117"/>
      <c r="AA9" s="1117"/>
    </row>
    <row r="10" spans="1:29" x14ac:dyDescent="0.25">
      <c r="A10" s="44" t="s">
        <v>216</v>
      </c>
      <c r="B10" s="44"/>
    </row>
    <row r="11" spans="1:29" s="12" customFormat="1" ht="28.9" customHeight="1" x14ac:dyDescent="0.2">
      <c r="A11" s="943" t="s">
        <v>156</v>
      </c>
      <c r="B11" s="943" t="s">
        <v>282</v>
      </c>
      <c r="C11" s="943" t="s">
        <v>157</v>
      </c>
      <c r="D11" s="943" t="s">
        <v>158</v>
      </c>
      <c r="E11" s="937" t="s">
        <v>337</v>
      </c>
      <c r="F11" s="938"/>
      <c r="G11" s="937" t="s">
        <v>277</v>
      </c>
      <c r="H11" s="938"/>
      <c r="I11" s="937" t="s">
        <v>159</v>
      </c>
      <c r="J11" s="938"/>
      <c r="K11" s="947" t="s">
        <v>752</v>
      </c>
      <c r="L11" s="948"/>
      <c r="M11" s="948"/>
      <c r="N11" s="948"/>
      <c r="O11" s="949"/>
      <c r="P11" s="943" t="s">
        <v>250</v>
      </c>
      <c r="Q11" s="943" t="s">
        <v>625</v>
      </c>
      <c r="R11" s="937" t="s">
        <v>750</v>
      </c>
      <c r="S11" s="938"/>
      <c r="T11" s="937" t="s">
        <v>751</v>
      </c>
      <c r="U11" s="938"/>
      <c r="V11" s="936" t="s">
        <v>751</v>
      </c>
      <c r="W11" s="936"/>
      <c r="X11" s="936"/>
      <c r="Y11" s="936"/>
      <c r="Z11" s="936"/>
      <c r="AA11" s="936"/>
    </row>
    <row r="12" spans="1:29" s="12" customFormat="1" ht="14.45" customHeight="1" x14ac:dyDescent="0.2">
      <c r="A12" s="944"/>
      <c r="B12" s="944"/>
      <c r="C12" s="944"/>
      <c r="D12" s="944"/>
      <c r="E12" s="939"/>
      <c r="F12" s="940"/>
      <c r="G12" s="939"/>
      <c r="H12" s="940"/>
      <c r="I12" s="939"/>
      <c r="J12" s="940"/>
      <c r="K12" s="947" t="s">
        <v>160</v>
      </c>
      <c r="L12" s="948"/>
      <c r="M12" s="949"/>
      <c r="N12" s="937" t="s">
        <v>626</v>
      </c>
      <c r="O12" s="938"/>
      <c r="P12" s="944"/>
      <c r="Q12" s="944"/>
      <c r="R12" s="939"/>
      <c r="S12" s="940"/>
      <c r="T12" s="939"/>
      <c r="U12" s="940"/>
      <c r="V12" s="936"/>
      <c r="W12" s="936"/>
      <c r="X12" s="936"/>
      <c r="Y12" s="936"/>
      <c r="Z12" s="936"/>
      <c r="AA12" s="936"/>
    </row>
    <row r="13" spans="1:29" s="12" customFormat="1" ht="20.25" customHeight="1" x14ac:dyDescent="0.2">
      <c r="A13" s="944"/>
      <c r="B13" s="944"/>
      <c r="C13" s="944"/>
      <c r="D13" s="944"/>
      <c r="E13" s="941"/>
      <c r="F13" s="942"/>
      <c r="G13" s="941"/>
      <c r="H13" s="942"/>
      <c r="I13" s="941"/>
      <c r="J13" s="942"/>
      <c r="K13" s="950" t="s">
        <v>161</v>
      </c>
      <c r="L13" s="947" t="s">
        <v>247</v>
      </c>
      <c r="M13" s="949"/>
      <c r="N13" s="941"/>
      <c r="O13" s="942"/>
      <c r="P13" s="946"/>
      <c r="Q13" s="946"/>
      <c r="R13" s="941"/>
      <c r="S13" s="942"/>
      <c r="T13" s="941"/>
      <c r="U13" s="942"/>
      <c r="V13" s="936" t="s">
        <v>584</v>
      </c>
      <c r="W13" s="936"/>
      <c r="X13" s="936" t="s">
        <v>585</v>
      </c>
      <c r="Y13" s="936"/>
      <c r="Z13" s="936" t="s">
        <v>586</v>
      </c>
      <c r="AA13" s="936"/>
    </row>
    <row r="14" spans="1:29" s="12" customFormat="1" ht="21" x14ac:dyDescent="0.2">
      <c r="A14" s="945"/>
      <c r="B14" s="945"/>
      <c r="C14" s="945"/>
      <c r="D14" s="945"/>
      <c r="E14" s="154" t="s">
        <v>161</v>
      </c>
      <c r="F14" s="125" t="s">
        <v>162</v>
      </c>
      <c r="G14" s="15" t="s">
        <v>161</v>
      </c>
      <c r="H14" s="16" t="s">
        <v>162</v>
      </c>
      <c r="I14" s="154" t="s">
        <v>161</v>
      </c>
      <c r="J14" s="125" t="s">
        <v>162</v>
      </c>
      <c r="K14" s="951"/>
      <c r="L14" s="154" t="s">
        <v>161</v>
      </c>
      <c r="M14" s="125" t="s">
        <v>162</v>
      </c>
      <c r="N14" s="154" t="s">
        <v>161</v>
      </c>
      <c r="O14" s="125" t="s">
        <v>162</v>
      </c>
      <c r="P14" s="16" t="s">
        <v>162</v>
      </c>
      <c r="Q14" s="16" t="s">
        <v>162</v>
      </c>
      <c r="R14" s="15" t="s">
        <v>161</v>
      </c>
      <c r="S14" s="16" t="s">
        <v>162</v>
      </c>
      <c r="T14" s="77" t="s">
        <v>161</v>
      </c>
      <c r="U14" s="78" t="s">
        <v>162</v>
      </c>
      <c r="V14" s="218" t="s">
        <v>161</v>
      </c>
      <c r="W14" s="209" t="s">
        <v>162</v>
      </c>
      <c r="X14" s="218" t="s">
        <v>161</v>
      </c>
      <c r="Y14" s="209" t="s">
        <v>162</v>
      </c>
      <c r="Z14" s="218" t="s">
        <v>161</v>
      </c>
      <c r="AA14" s="209" t="s">
        <v>162</v>
      </c>
    </row>
    <row r="15" spans="1:29" s="23" customFormat="1" ht="22.5" x14ac:dyDescent="0.25">
      <c r="A15" s="29" t="s">
        <v>217</v>
      </c>
      <c r="B15" s="156">
        <v>16981</v>
      </c>
      <c r="C15" s="159">
        <v>6670000</v>
      </c>
      <c r="D15" s="31">
        <v>43448.999988425923</v>
      </c>
      <c r="E15" s="29">
        <v>55</v>
      </c>
      <c r="F15" s="172">
        <v>18444345.050000001</v>
      </c>
      <c r="G15" s="173">
        <v>0</v>
      </c>
      <c r="H15" s="173">
        <v>0</v>
      </c>
      <c r="I15" s="57">
        <v>21</v>
      </c>
      <c r="J15" s="81">
        <v>6094538.1799999997</v>
      </c>
      <c r="K15" s="57">
        <f>23-2</f>
        <v>21</v>
      </c>
      <c r="L15" s="57">
        <f>23-2</f>
        <v>21</v>
      </c>
      <c r="M15" s="81">
        <f>6720386.18-625848</f>
        <v>6094538.1799999997</v>
      </c>
      <c r="N15" s="57">
        <f>26+6+2</f>
        <v>34</v>
      </c>
      <c r="O15" s="81">
        <f>8393044.57+1781460+625848</f>
        <v>10800352.57</v>
      </c>
      <c r="P15" s="88">
        <v>0</v>
      </c>
      <c r="Q15" s="88">
        <v>0</v>
      </c>
      <c r="R15" s="57">
        <v>36</v>
      </c>
      <c r="S15" s="83">
        <v>5854220.8999999985</v>
      </c>
      <c r="T15" s="57">
        <v>34</v>
      </c>
      <c r="U15" s="311">
        <v>5309861.8200000012</v>
      </c>
      <c r="V15" s="22">
        <v>0</v>
      </c>
      <c r="W15" s="22">
        <v>0</v>
      </c>
      <c r="X15" s="22">
        <v>1</v>
      </c>
      <c r="Y15" s="22">
        <v>91283</v>
      </c>
      <c r="Z15" s="22">
        <v>19</v>
      </c>
      <c r="AA15" s="22">
        <v>5218578.82</v>
      </c>
      <c r="AC15" s="271"/>
    </row>
    <row r="16" spans="1:29" x14ac:dyDescent="0.25">
      <c r="A16" s="59" t="s">
        <v>218</v>
      </c>
      <c r="B16" s="59"/>
      <c r="C16" s="60">
        <f>SUM(C15:C15)</f>
        <v>6670000</v>
      </c>
      <c r="D16" s="60"/>
      <c r="E16" s="60">
        <f t="shared" ref="E16:AA16" si="1">SUM(E15:E15)</f>
        <v>55</v>
      </c>
      <c r="F16" s="60">
        <f t="shared" si="1"/>
        <v>18444345.050000001</v>
      </c>
      <c r="G16" s="60">
        <f t="shared" si="1"/>
        <v>0</v>
      </c>
      <c r="H16" s="60">
        <f t="shared" si="1"/>
        <v>0</v>
      </c>
      <c r="I16" s="60">
        <f t="shared" si="1"/>
        <v>21</v>
      </c>
      <c r="J16" s="60">
        <f t="shared" si="1"/>
        <v>6094538.1799999997</v>
      </c>
      <c r="K16" s="60">
        <f t="shared" si="1"/>
        <v>21</v>
      </c>
      <c r="L16" s="60">
        <f t="shared" si="1"/>
        <v>21</v>
      </c>
      <c r="M16" s="60">
        <f t="shared" si="1"/>
        <v>6094538.1799999997</v>
      </c>
      <c r="N16" s="60">
        <f t="shared" si="1"/>
        <v>34</v>
      </c>
      <c r="O16" s="60">
        <f t="shared" si="1"/>
        <v>10800352.57</v>
      </c>
      <c r="P16" s="60">
        <f t="shared" si="1"/>
        <v>0</v>
      </c>
      <c r="Q16" s="60">
        <f t="shared" si="1"/>
        <v>0</v>
      </c>
      <c r="R16" s="60">
        <f t="shared" si="1"/>
        <v>36</v>
      </c>
      <c r="S16" s="60">
        <f t="shared" si="1"/>
        <v>5854220.8999999985</v>
      </c>
      <c r="T16" s="60">
        <f t="shared" si="1"/>
        <v>34</v>
      </c>
      <c r="U16" s="60">
        <f t="shared" si="1"/>
        <v>5309861.8200000012</v>
      </c>
      <c r="V16" s="20">
        <f t="shared" si="1"/>
        <v>0</v>
      </c>
      <c r="W16" s="20">
        <f t="shared" si="1"/>
        <v>0</v>
      </c>
      <c r="X16" s="20">
        <f t="shared" si="1"/>
        <v>1</v>
      </c>
      <c r="Y16" s="20">
        <f t="shared" si="1"/>
        <v>91283</v>
      </c>
      <c r="Z16" s="20">
        <f t="shared" si="1"/>
        <v>19</v>
      </c>
      <c r="AA16" s="20">
        <f t="shared" si="1"/>
        <v>5218578.82</v>
      </c>
    </row>
    <row r="17" spans="1:29" s="23" customFormat="1" ht="10.15" customHeight="1" x14ac:dyDescent="0.25">
      <c r="A17" s="979" t="s">
        <v>725</v>
      </c>
      <c r="B17" s="979"/>
      <c r="C17" s="979"/>
      <c r="D17" s="979"/>
      <c r="E17" s="979"/>
      <c r="F17" s="979"/>
      <c r="G17" s="979"/>
      <c r="H17" s="979"/>
      <c r="I17" s="979"/>
      <c r="J17" s="979"/>
      <c r="K17" s="979"/>
      <c r="L17" s="375"/>
      <c r="M17" s="375"/>
      <c r="N17" s="375"/>
      <c r="Q17" s="380"/>
    </row>
    <row r="18" spans="1:29" ht="9.6" customHeight="1" x14ac:dyDescent="0.25">
      <c r="A18" s="12"/>
      <c r="B18" s="12"/>
    </row>
    <row r="19" spans="1:29" ht="25.9" customHeight="1" x14ac:dyDescent="0.25">
      <c r="A19" s="982" t="s">
        <v>219</v>
      </c>
      <c r="B19" s="982"/>
      <c r="C19" s="982"/>
      <c r="D19" s="982"/>
      <c r="E19" s="982"/>
      <c r="F19" s="982"/>
      <c r="G19" s="982"/>
      <c r="H19" s="982"/>
      <c r="I19" s="982"/>
      <c r="J19" s="982"/>
      <c r="K19" s="982"/>
      <c r="L19" s="982"/>
      <c r="M19" s="982"/>
      <c r="N19" s="982"/>
      <c r="O19" s="982"/>
      <c r="P19" s="982"/>
      <c r="Q19" s="982"/>
      <c r="R19" s="982"/>
      <c r="S19" s="982"/>
      <c r="T19" s="982"/>
      <c r="U19" s="982"/>
      <c r="V19" s="982"/>
      <c r="W19" s="982"/>
      <c r="X19" s="982"/>
      <c r="Y19" s="982"/>
      <c r="Z19" s="982"/>
      <c r="AA19" s="982"/>
    </row>
    <row r="20" spans="1:29" s="12" customFormat="1" ht="28.9" customHeight="1" x14ac:dyDescent="0.2">
      <c r="A20" s="943" t="s">
        <v>156</v>
      </c>
      <c r="B20" s="943" t="s">
        <v>282</v>
      </c>
      <c r="C20" s="943" t="s">
        <v>157</v>
      </c>
      <c r="D20" s="943" t="s">
        <v>158</v>
      </c>
      <c r="E20" s="937" t="s">
        <v>337</v>
      </c>
      <c r="F20" s="938"/>
      <c r="G20" s="937" t="s">
        <v>277</v>
      </c>
      <c r="H20" s="938"/>
      <c r="I20" s="968" t="s">
        <v>159</v>
      </c>
      <c r="J20" s="969"/>
      <c r="K20" s="947" t="s">
        <v>752</v>
      </c>
      <c r="L20" s="948"/>
      <c r="M20" s="948"/>
      <c r="N20" s="948"/>
      <c r="O20" s="949"/>
      <c r="P20" s="943" t="s">
        <v>250</v>
      </c>
      <c r="Q20" s="943" t="s">
        <v>625</v>
      </c>
      <c r="R20" s="937" t="s">
        <v>750</v>
      </c>
      <c r="S20" s="938"/>
      <c r="T20" s="937" t="s">
        <v>751</v>
      </c>
      <c r="U20" s="938"/>
      <c r="V20" s="936" t="s">
        <v>751</v>
      </c>
      <c r="W20" s="936"/>
      <c r="X20" s="936"/>
      <c r="Y20" s="936"/>
      <c r="Z20" s="936"/>
      <c r="AA20" s="936"/>
    </row>
    <row r="21" spans="1:29" s="12" customFormat="1" ht="14.45" customHeight="1" x14ac:dyDescent="0.2">
      <c r="A21" s="944"/>
      <c r="B21" s="944"/>
      <c r="C21" s="944"/>
      <c r="D21" s="944"/>
      <c r="E21" s="939"/>
      <c r="F21" s="940"/>
      <c r="G21" s="939"/>
      <c r="H21" s="940"/>
      <c r="I21" s="939"/>
      <c r="J21" s="940"/>
      <c r="K21" s="947" t="s">
        <v>160</v>
      </c>
      <c r="L21" s="948"/>
      <c r="M21" s="949"/>
      <c r="N21" s="937" t="s">
        <v>626</v>
      </c>
      <c r="O21" s="938"/>
      <c r="P21" s="944"/>
      <c r="Q21" s="944"/>
      <c r="R21" s="939"/>
      <c r="S21" s="940"/>
      <c r="T21" s="939"/>
      <c r="U21" s="940"/>
      <c r="V21" s="936"/>
      <c r="W21" s="936"/>
      <c r="X21" s="936"/>
      <c r="Y21" s="936"/>
      <c r="Z21" s="936"/>
      <c r="AA21" s="936"/>
    </row>
    <row r="22" spans="1:29" s="12" customFormat="1" ht="20.25" customHeight="1" x14ac:dyDescent="0.2">
      <c r="A22" s="944"/>
      <c r="B22" s="944"/>
      <c r="C22" s="944"/>
      <c r="D22" s="944"/>
      <c r="E22" s="941"/>
      <c r="F22" s="942"/>
      <c r="G22" s="941"/>
      <c r="H22" s="942"/>
      <c r="I22" s="941"/>
      <c r="J22" s="942"/>
      <c r="K22" s="950" t="s">
        <v>161</v>
      </c>
      <c r="L22" s="947" t="s">
        <v>247</v>
      </c>
      <c r="M22" s="949"/>
      <c r="N22" s="941"/>
      <c r="O22" s="942"/>
      <c r="P22" s="946"/>
      <c r="Q22" s="946"/>
      <c r="R22" s="941"/>
      <c r="S22" s="942"/>
      <c r="T22" s="941"/>
      <c r="U22" s="942"/>
      <c r="V22" s="936" t="s">
        <v>584</v>
      </c>
      <c r="W22" s="936"/>
      <c r="X22" s="936" t="s">
        <v>585</v>
      </c>
      <c r="Y22" s="936"/>
      <c r="Z22" s="936" t="s">
        <v>586</v>
      </c>
      <c r="AA22" s="936"/>
    </row>
    <row r="23" spans="1:29" s="12" customFormat="1" ht="21" x14ac:dyDescent="0.2">
      <c r="A23" s="945"/>
      <c r="B23" s="945"/>
      <c r="C23" s="945"/>
      <c r="D23" s="945"/>
      <c r="E23" s="154" t="s">
        <v>161</v>
      </c>
      <c r="F23" s="125" t="s">
        <v>162</v>
      </c>
      <c r="G23" s="15" t="s">
        <v>161</v>
      </c>
      <c r="H23" s="16" t="s">
        <v>162</v>
      </c>
      <c r="I23" s="154" t="s">
        <v>161</v>
      </c>
      <c r="J23" s="125" t="s">
        <v>162</v>
      </c>
      <c r="K23" s="951"/>
      <c r="L23" s="154" t="s">
        <v>161</v>
      </c>
      <c r="M23" s="125" t="s">
        <v>162</v>
      </c>
      <c r="N23" s="154" t="s">
        <v>161</v>
      </c>
      <c r="O23" s="125" t="s">
        <v>162</v>
      </c>
      <c r="P23" s="16" t="s">
        <v>162</v>
      </c>
      <c r="Q23" s="16" t="s">
        <v>162</v>
      </c>
      <c r="R23" s="15" t="s">
        <v>161</v>
      </c>
      <c r="S23" s="16" t="s">
        <v>162</v>
      </c>
      <c r="T23" s="77" t="s">
        <v>161</v>
      </c>
      <c r="U23" s="78" t="s">
        <v>162</v>
      </c>
      <c r="V23" s="218" t="s">
        <v>161</v>
      </c>
      <c r="W23" s="209" t="s">
        <v>162</v>
      </c>
      <c r="X23" s="218" t="s">
        <v>161</v>
      </c>
      <c r="Y23" s="209" t="s">
        <v>162</v>
      </c>
      <c r="Z23" s="218" t="s">
        <v>161</v>
      </c>
      <c r="AA23" s="209" t="s">
        <v>162</v>
      </c>
    </row>
    <row r="24" spans="1:29" s="23" customFormat="1" ht="22.5" x14ac:dyDescent="0.25">
      <c r="A24" s="29" t="s">
        <v>104</v>
      </c>
      <c r="B24" s="156">
        <v>14721</v>
      </c>
      <c r="C24" s="94">
        <v>3020000</v>
      </c>
      <c r="D24" s="31">
        <v>43395.999988425923</v>
      </c>
      <c r="E24" s="29">
        <v>43</v>
      </c>
      <c r="F24" s="172">
        <v>8710411.5700000022</v>
      </c>
      <c r="G24" s="173">
        <v>2</v>
      </c>
      <c r="H24" s="173">
        <v>247751.91000000015</v>
      </c>
      <c r="I24" s="29">
        <v>11</v>
      </c>
      <c r="J24" s="94">
        <v>2206377.77</v>
      </c>
      <c r="K24" s="57">
        <f>14-3</f>
        <v>11</v>
      </c>
      <c r="L24" s="57">
        <f>14-3</f>
        <v>11</v>
      </c>
      <c r="M24" s="81">
        <f>3881096.69-1123219.93-551499</f>
        <v>2206377.7599999998</v>
      </c>
      <c r="N24" s="57">
        <f>19+8+3</f>
        <v>30</v>
      </c>
      <c r="O24" s="81">
        <f>3954043.15+424563+1123219.93+551499</f>
        <v>6053325.0800000001</v>
      </c>
      <c r="P24" s="88">
        <v>0</v>
      </c>
      <c r="Q24" s="88">
        <f>C24-M24</f>
        <v>813622.24000000022</v>
      </c>
      <c r="R24" s="57">
        <v>12</v>
      </c>
      <c r="S24" s="81">
        <v>1780451.5299999998</v>
      </c>
      <c r="T24" s="57">
        <v>8</v>
      </c>
      <c r="U24" s="22">
        <v>1150690.24</v>
      </c>
      <c r="V24" s="22">
        <v>0</v>
      </c>
      <c r="W24" s="22">
        <v>0</v>
      </c>
      <c r="X24" s="22">
        <v>1</v>
      </c>
      <c r="Y24" s="22">
        <v>125500</v>
      </c>
      <c r="Z24" s="22">
        <v>5</v>
      </c>
      <c r="AA24" s="22">
        <v>1025190.2399999999</v>
      </c>
      <c r="AB24" s="569"/>
      <c r="AC24" s="569"/>
    </row>
    <row r="25" spans="1:29" x14ac:dyDescent="0.25">
      <c r="A25" s="59" t="s">
        <v>220</v>
      </c>
      <c r="B25" s="59"/>
      <c r="C25" s="60">
        <f>SUM(C24:C24)</f>
        <v>3020000</v>
      </c>
      <c r="D25" s="60"/>
      <c r="E25" s="60">
        <f t="shared" ref="E25:AA25" si="2">SUM(E24:E24)</f>
        <v>43</v>
      </c>
      <c r="F25" s="60">
        <f t="shared" si="2"/>
        <v>8710411.5700000022</v>
      </c>
      <c r="G25" s="60">
        <f t="shared" si="2"/>
        <v>2</v>
      </c>
      <c r="H25" s="60">
        <f t="shared" si="2"/>
        <v>247751.91000000015</v>
      </c>
      <c r="I25" s="60">
        <f t="shared" si="2"/>
        <v>11</v>
      </c>
      <c r="J25" s="60">
        <f t="shared" si="2"/>
        <v>2206377.77</v>
      </c>
      <c r="K25" s="60">
        <f t="shared" si="2"/>
        <v>11</v>
      </c>
      <c r="L25" s="60">
        <f t="shared" si="2"/>
        <v>11</v>
      </c>
      <c r="M25" s="60">
        <f t="shared" si="2"/>
        <v>2206377.7599999998</v>
      </c>
      <c r="N25" s="60">
        <f t="shared" si="2"/>
        <v>30</v>
      </c>
      <c r="O25" s="60">
        <f t="shared" si="2"/>
        <v>6053325.0800000001</v>
      </c>
      <c r="P25" s="60">
        <f t="shared" si="2"/>
        <v>0</v>
      </c>
      <c r="Q25" s="60">
        <f t="shared" si="2"/>
        <v>813622.24000000022</v>
      </c>
      <c r="R25" s="60">
        <f t="shared" si="2"/>
        <v>12</v>
      </c>
      <c r="S25" s="60">
        <v>523</v>
      </c>
      <c r="T25" s="60">
        <f t="shared" si="2"/>
        <v>8</v>
      </c>
      <c r="U25" s="60">
        <f t="shared" si="2"/>
        <v>1150690.24</v>
      </c>
      <c r="V25" s="20">
        <f t="shared" si="2"/>
        <v>0</v>
      </c>
      <c r="W25" s="20">
        <f t="shared" si="2"/>
        <v>0</v>
      </c>
      <c r="X25" s="20">
        <f t="shared" si="2"/>
        <v>1</v>
      </c>
      <c r="Y25" s="20">
        <f t="shared" si="2"/>
        <v>125500</v>
      </c>
      <c r="Z25" s="20">
        <f t="shared" si="2"/>
        <v>5</v>
      </c>
      <c r="AA25" s="20">
        <f t="shared" si="2"/>
        <v>1025190.2399999999</v>
      </c>
    </row>
    <row r="26" spans="1:29" ht="13.15" customHeight="1" x14ac:dyDescent="0.25">
      <c r="A26" s="210" t="s">
        <v>390</v>
      </c>
      <c r="B26" s="134"/>
      <c r="C26" s="134"/>
      <c r="D26" s="134"/>
      <c r="E26" s="134"/>
      <c r="F26" s="134"/>
      <c r="G26" s="134"/>
      <c r="H26" s="134"/>
      <c r="I26" s="134"/>
      <c r="J26" s="134"/>
      <c r="K26" s="134"/>
      <c r="L26" s="134"/>
      <c r="M26" s="134"/>
      <c r="N26" s="134"/>
      <c r="O26" s="134"/>
      <c r="P26" s="134"/>
      <c r="Q26" s="381"/>
      <c r="R26" s="134"/>
      <c r="S26" s="134"/>
    </row>
    <row r="27" spans="1:29" ht="13.15" customHeight="1" x14ac:dyDescent="0.25">
      <c r="A27" s="979" t="s">
        <v>725</v>
      </c>
      <c r="B27" s="979"/>
      <c r="C27" s="979"/>
      <c r="D27" s="979"/>
      <c r="E27" s="979"/>
      <c r="F27" s="979"/>
      <c r="G27" s="979"/>
      <c r="H27" s="979"/>
      <c r="I27" s="979"/>
      <c r="J27" s="979"/>
      <c r="K27" s="979"/>
      <c r="L27" s="134"/>
      <c r="M27" s="134"/>
      <c r="N27" s="134"/>
      <c r="O27" s="134"/>
      <c r="P27" s="134"/>
      <c r="Q27" s="381"/>
      <c r="R27" s="134"/>
      <c r="S27" s="134"/>
    </row>
    <row r="28" spans="1:29" ht="18" customHeight="1" x14ac:dyDescent="0.25">
      <c r="A28" s="935" t="s">
        <v>744</v>
      </c>
      <c r="B28" s="935"/>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5"/>
      <c r="AA28" s="935"/>
    </row>
    <row r="29" spans="1:29" ht="15" customHeight="1" x14ac:dyDescent="0.25">
      <c r="A29" s="183"/>
      <c r="B29" s="183"/>
      <c r="C29" s="183"/>
      <c r="D29" s="183"/>
      <c r="E29" s="183"/>
      <c r="F29" s="183"/>
      <c r="G29" s="183"/>
      <c r="H29" s="183"/>
      <c r="I29" s="183"/>
      <c r="J29" s="183"/>
      <c r="K29" s="183"/>
      <c r="L29" s="183"/>
      <c r="M29" s="183"/>
      <c r="N29" s="183"/>
      <c r="O29" s="183"/>
      <c r="P29" s="183"/>
      <c r="Q29" s="183"/>
      <c r="R29" s="183"/>
      <c r="S29" s="183"/>
      <c r="T29" s="183"/>
      <c r="U29" s="183"/>
    </row>
    <row r="30" spans="1:29" ht="26.45" customHeight="1" x14ac:dyDescent="0.25">
      <c r="A30" s="986" t="s">
        <v>221</v>
      </c>
      <c r="B30" s="986"/>
      <c r="C30" s="986"/>
      <c r="D30" s="986"/>
      <c r="E30" s="986"/>
      <c r="F30" s="986"/>
      <c r="G30" s="986"/>
      <c r="H30" s="986"/>
      <c r="I30" s="986"/>
      <c r="J30" s="986"/>
      <c r="K30" s="986"/>
      <c r="L30" s="986"/>
      <c r="M30" s="986"/>
      <c r="N30" s="986"/>
      <c r="O30" s="986"/>
      <c r="P30" s="986"/>
      <c r="Q30" s="986"/>
      <c r="R30" s="986"/>
      <c r="S30" s="986"/>
      <c r="T30" s="986"/>
      <c r="U30" s="986"/>
      <c r="V30" s="986"/>
      <c r="W30" s="986"/>
      <c r="X30" s="986"/>
      <c r="Y30" s="986"/>
      <c r="Z30" s="986"/>
      <c r="AA30" s="986"/>
    </row>
    <row r="31" spans="1:29" s="12" customFormat="1" ht="28.9" customHeight="1" x14ac:dyDescent="0.2">
      <c r="A31" s="943" t="s">
        <v>156</v>
      </c>
      <c r="B31" s="943" t="s">
        <v>282</v>
      </c>
      <c r="C31" s="943" t="s">
        <v>157</v>
      </c>
      <c r="D31" s="943" t="s">
        <v>158</v>
      </c>
      <c r="E31" s="937" t="s">
        <v>337</v>
      </c>
      <c r="F31" s="938"/>
      <c r="G31" s="937" t="s">
        <v>277</v>
      </c>
      <c r="H31" s="938"/>
      <c r="I31" s="937" t="s">
        <v>721</v>
      </c>
      <c r="J31" s="938"/>
      <c r="K31" s="975" t="s">
        <v>749</v>
      </c>
      <c r="L31" s="948"/>
      <c r="M31" s="948"/>
      <c r="N31" s="948"/>
      <c r="O31" s="949"/>
      <c r="P31" s="943" t="s">
        <v>250</v>
      </c>
      <c r="Q31" s="943" t="s">
        <v>625</v>
      </c>
      <c r="R31" s="968" t="s">
        <v>750</v>
      </c>
      <c r="S31" s="969"/>
      <c r="T31" s="968" t="s">
        <v>751</v>
      </c>
      <c r="U31" s="969"/>
      <c r="V31" s="968" t="s">
        <v>751</v>
      </c>
      <c r="W31" s="973"/>
      <c r="X31" s="973"/>
      <c r="Y31" s="973"/>
      <c r="Z31" s="973"/>
      <c r="AA31" s="969"/>
    </row>
    <row r="32" spans="1:29" s="12" customFormat="1" ht="14.45" customHeight="1" x14ac:dyDescent="0.2">
      <c r="A32" s="944"/>
      <c r="B32" s="944"/>
      <c r="C32" s="944"/>
      <c r="D32" s="944"/>
      <c r="E32" s="939"/>
      <c r="F32" s="940"/>
      <c r="G32" s="939"/>
      <c r="H32" s="940"/>
      <c r="I32" s="939"/>
      <c r="J32" s="940"/>
      <c r="K32" s="975" t="s">
        <v>160</v>
      </c>
      <c r="L32" s="948"/>
      <c r="M32" s="949"/>
      <c r="N32" s="968" t="s">
        <v>626</v>
      </c>
      <c r="O32" s="969"/>
      <c r="P32" s="944"/>
      <c r="Q32" s="944"/>
      <c r="R32" s="939"/>
      <c r="S32" s="940"/>
      <c r="T32" s="939"/>
      <c r="U32" s="940"/>
      <c r="V32" s="941"/>
      <c r="W32" s="974"/>
      <c r="X32" s="974"/>
      <c r="Y32" s="974"/>
      <c r="Z32" s="974"/>
      <c r="AA32" s="942"/>
    </row>
    <row r="33" spans="1:28" s="12" customFormat="1" ht="20.25" customHeight="1" x14ac:dyDescent="0.2">
      <c r="A33" s="944"/>
      <c r="B33" s="944"/>
      <c r="C33" s="944"/>
      <c r="D33" s="944"/>
      <c r="E33" s="941"/>
      <c r="F33" s="942"/>
      <c r="G33" s="941"/>
      <c r="H33" s="942"/>
      <c r="I33" s="941"/>
      <c r="J33" s="942"/>
      <c r="K33" s="950" t="s">
        <v>161</v>
      </c>
      <c r="L33" s="975" t="s">
        <v>247</v>
      </c>
      <c r="M33" s="949"/>
      <c r="N33" s="941"/>
      <c r="O33" s="942"/>
      <c r="P33" s="946"/>
      <c r="Q33" s="946"/>
      <c r="R33" s="941"/>
      <c r="S33" s="942"/>
      <c r="T33" s="941"/>
      <c r="U33" s="942"/>
      <c r="V33" s="975" t="s">
        <v>584</v>
      </c>
      <c r="W33" s="949"/>
      <c r="X33" s="975" t="s">
        <v>585</v>
      </c>
      <c r="Y33" s="949"/>
      <c r="Z33" s="975" t="s">
        <v>586</v>
      </c>
      <c r="AA33" s="949"/>
    </row>
    <row r="34" spans="1:28" s="12" customFormat="1" ht="21" x14ac:dyDescent="0.2">
      <c r="A34" s="945"/>
      <c r="B34" s="945"/>
      <c r="C34" s="945"/>
      <c r="D34" s="945"/>
      <c r="E34" s="154" t="s">
        <v>161</v>
      </c>
      <c r="F34" s="125" t="s">
        <v>162</v>
      </c>
      <c r="G34" s="15" t="s">
        <v>161</v>
      </c>
      <c r="H34" s="16" t="s">
        <v>162</v>
      </c>
      <c r="I34" s="154" t="s">
        <v>161</v>
      </c>
      <c r="J34" s="125" t="s">
        <v>162</v>
      </c>
      <c r="K34" s="1119"/>
      <c r="L34" s="154" t="s">
        <v>161</v>
      </c>
      <c r="M34" s="125" t="s">
        <v>162</v>
      </c>
      <c r="N34" s="154" t="s">
        <v>161</v>
      </c>
      <c r="O34" s="125" t="s">
        <v>162</v>
      </c>
      <c r="P34" s="16" t="s">
        <v>162</v>
      </c>
      <c r="Q34" s="16" t="s">
        <v>162</v>
      </c>
      <c r="R34" s="15" t="s">
        <v>161</v>
      </c>
      <c r="S34" s="16" t="s">
        <v>162</v>
      </c>
      <c r="T34" s="77" t="s">
        <v>161</v>
      </c>
      <c r="U34" s="78" t="s">
        <v>162</v>
      </c>
      <c r="V34" s="218" t="s">
        <v>161</v>
      </c>
      <c r="W34" s="209" t="s">
        <v>162</v>
      </c>
      <c r="X34" s="218" t="s">
        <v>161</v>
      </c>
      <c r="Y34" s="209" t="s">
        <v>162</v>
      </c>
      <c r="Z34" s="218" t="s">
        <v>161</v>
      </c>
      <c r="AA34" s="209" t="s">
        <v>162</v>
      </c>
    </row>
    <row r="35" spans="1:28" s="23" customFormat="1" ht="45" x14ac:dyDescent="0.25">
      <c r="A35" s="29" t="s">
        <v>222</v>
      </c>
      <c r="B35" s="29">
        <v>24263</v>
      </c>
      <c r="C35" s="159">
        <v>1880000</v>
      </c>
      <c r="D35" s="334">
        <v>43769.999988425923</v>
      </c>
      <c r="E35" s="21">
        <v>21</v>
      </c>
      <c r="F35" s="172">
        <v>4451649.54</v>
      </c>
      <c r="G35" s="133">
        <v>0</v>
      </c>
      <c r="H35" s="133">
        <v>0</v>
      </c>
      <c r="I35" s="29">
        <v>9</v>
      </c>
      <c r="J35" s="159">
        <v>1689713.8599999999</v>
      </c>
      <c r="K35" s="363">
        <v>4</v>
      </c>
      <c r="L35" s="57">
        <v>3</v>
      </c>
      <c r="M35" s="81">
        <v>568352.41</v>
      </c>
      <c r="N35" s="57">
        <v>6</v>
      </c>
      <c r="O35" s="81">
        <v>1312327.1400000001</v>
      </c>
      <c r="P35" s="41">
        <f>J35-M35</f>
        <v>1121361.4499999997</v>
      </c>
      <c r="Q35" s="88">
        <v>0</v>
      </c>
      <c r="R35" s="57">
        <v>1</v>
      </c>
      <c r="S35" s="81">
        <v>88278.13</v>
      </c>
      <c r="T35" s="57">
        <v>0</v>
      </c>
      <c r="U35" s="57">
        <v>0</v>
      </c>
      <c r="V35" s="22">
        <v>0</v>
      </c>
      <c r="W35" s="22">
        <v>0</v>
      </c>
      <c r="X35" s="22">
        <v>0</v>
      </c>
      <c r="Y35" s="22">
        <v>0</v>
      </c>
      <c r="Z35" s="22">
        <v>0</v>
      </c>
      <c r="AA35" s="22">
        <v>0</v>
      </c>
      <c r="AB35" s="271"/>
    </row>
    <row r="36" spans="1:28" x14ac:dyDescent="0.25">
      <c r="A36" s="59" t="s">
        <v>223</v>
      </c>
      <c r="B36" s="59"/>
      <c r="C36" s="60">
        <f>SUM(C35:C35)</f>
        <v>1880000</v>
      </c>
      <c r="D36" s="60"/>
      <c r="E36" s="60">
        <f t="shared" ref="E36:AA36" si="3">SUM(E35:E35)</f>
        <v>21</v>
      </c>
      <c r="F36" s="60">
        <f t="shared" si="3"/>
        <v>4451649.54</v>
      </c>
      <c r="G36" s="60">
        <f t="shared" si="3"/>
        <v>0</v>
      </c>
      <c r="H36" s="60">
        <f t="shared" si="3"/>
        <v>0</v>
      </c>
      <c r="I36" s="60">
        <f t="shared" si="3"/>
        <v>9</v>
      </c>
      <c r="J36" s="60">
        <f t="shared" si="3"/>
        <v>1689713.8599999999</v>
      </c>
      <c r="K36" s="60">
        <f t="shared" si="3"/>
        <v>4</v>
      </c>
      <c r="L36" s="60">
        <f t="shared" si="3"/>
        <v>3</v>
      </c>
      <c r="M36" s="60">
        <f t="shared" si="3"/>
        <v>568352.41</v>
      </c>
      <c r="N36" s="60">
        <f t="shared" si="3"/>
        <v>6</v>
      </c>
      <c r="O36" s="60">
        <f t="shared" si="3"/>
        <v>1312327.1400000001</v>
      </c>
      <c r="P36" s="60">
        <f t="shared" si="3"/>
        <v>1121361.4499999997</v>
      </c>
      <c r="Q36" s="60">
        <f t="shared" si="3"/>
        <v>0</v>
      </c>
      <c r="R36" s="60">
        <f t="shared" si="3"/>
        <v>1</v>
      </c>
      <c r="S36" s="60">
        <f t="shared" si="3"/>
        <v>88278.13</v>
      </c>
      <c r="T36" s="60">
        <f t="shared" si="3"/>
        <v>0</v>
      </c>
      <c r="U36" s="60">
        <f t="shared" si="3"/>
        <v>0</v>
      </c>
      <c r="V36" s="20">
        <f t="shared" si="3"/>
        <v>0</v>
      </c>
      <c r="W36" s="20">
        <f t="shared" si="3"/>
        <v>0</v>
      </c>
      <c r="X36" s="20">
        <f t="shared" si="3"/>
        <v>0</v>
      </c>
      <c r="Y36" s="20">
        <f t="shared" si="3"/>
        <v>0</v>
      </c>
      <c r="Z36" s="20">
        <f t="shared" si="3"/>
        <v>0</v>
      </c>
      <c r="AA36" s="20">
        <f t="shared" si="3"/>
        <v>0</v>
      </c>
    </row>
    <row r="37" spans="1:28" s="23" customFormat="1" ht="12" customHeight="1" x14ac:dyDescent="0.25">
      <c r="A37" s="979" t="s">
        <v>726</v>
      </c>
      <c r="B37" s="979"/>
      <c r="C37" s="979"/>
      <c r="D37" s="979"/>
      <c r="E37" s="979"/>
      <c r="F37" s="979"/>
      <c r="G37" s="979"/>
      <c r="H37" s="979"/>
      <c r="I37" s="979"/>
      <c r="J37" s="979"/>
      <c r="K37" s="979"/>
      <c r="L37" s="119"/>
      <c r="M37" s="119"/>
      <c r="N37" s="119"/>
      <c r="O37" s="119"/>
      <c r="P37" s="119"/>
      <c r="Q37" s="119"/>
      <c r="R37" s="119"/>
      <c r="S37" s="119"/>
      <c r="T37" s="119"/>
      <c r="U37" s="119"/>
    </row>
    <row r="38" spans="1:28" s="23" customFormat="1" ht="12" customHeight="1" x14ac:dyDescent="0.25">
      <c r="A38" s="124"/>
      <c r="B38" s="124"/>
      <c r="C38" s="124"/>
      <c r="D38" s="124"/>
      <c r="E38" s="124"/>
      <c r="F38" s="124"/>
      <c r="G38" s="124"/>
      <c r="H38" s="124"/>
      <c r="I38" s="124"/>
      <c r="J38" s="124"/>
      <c r="K38" s="124"/>
      <c r="L38" s="119"/>
      <c r="M38" s="119"/>
      <c r="N38" s="119"/>
      <c r="O38" s="119"/>
      <c r="P38" s="119"/>
      <c r="Q38" s="119"/>
      <c r="R38" s="119"/>
      <c r="S38" s="119"/>
      <c r="T38" s="119"/>
      <c r="U38" s="119"/>
    </row>
    <row r="39" spans="1:28" x14ac:dyDescent="0.25">
      <c r="A39" s="1118" t="s">
        <v>224</v>
      </c>
      <c r="B39" s="1118"/>
      <c r="C39" s="1118"/>
      <c r="D39" s="1118"/>
      <c r="E39" s="1118"/>
      <c r="F39" s="1118"/>
      <c r="G39" s="1118"/>
      <c r="H39" s="1118"/>
      <c r="I39" s="1118"/>
      <c r="J39" s="1118"/>
      <c r="K39" s="1118"/>
      <c r="L39" s="1118"/>
      <c r="M39" s="1118"/>
      <c r="N39" s="1118"/>
      <c r="O39" s="1118"/>
      <c r="P39" s="1118"/>
      <c r="Q39" s="1118"/>
      <c r="R39" s="1118"/>
      <c r="S39" s="1118"/>
      <c r="T39" s="1118"/>
      <c r="U39" s="1118"/>
    </row>
    <row r="40" spans="1:28" s="12" customFormat="1" ht="28.9" customHeight="1" x14ac:dyDescent="0.2">
      <c r="A40" s="943" t="s">
        <v>156</v>
      </c>
      <c r="B40" s="943" t="s">
        <v>282</v>
      </c>
      <c r="C40" s="943" t="s">
        <v>157</v>
      </c>
      <c r="D40" s="943" t="s">
        <v>158</v>
      </c>
      <c r="E40" s="937" t="s">
        <v>337</v>
      </c>
      <c r="F40" s="938"/>
      <c r="G40" s="937" t="s">
        <v>277</v>
      </c>
      <c r="H40" s="938"/>
      <c r="I40" s="937" t="s">
        <v>159</v>
      </c>
      <c r="J40" s="938"/>
      <c r="K40" s="975" t="s">
        <v>749</v>
      </c>
      <c r="L40" s="948"/>
      <c r="M40" s="948"/>
      <c r="N40" s="948"/>
      <c r="O40" s="949"/>
      <c r="P40" s="943" t="s">
        <v>250</v>
      </c>
      <c r="Q40" s="943" t="s">
        <v>625</v>
      </c>
      <c r="R40" s="968" t="s">
        <v>750</v>
      </c>
      <c r="S40" s="969"/>
      <c r="T40" s="968" t="s">
        <v>751</v>
      </c>
      <c r="U40" s="969"/>
      <c r="V40" s="968" t="s">
        <v>751</v>
      </c>
      <c r="W40" s="973"/>
      <c r="X40" s="973"/>
      <c r="Y40" s="973"/>
      <c r="Z40" s="973"/>
      <c r="AA40" s="969"/>
    </row>
    <row r="41" spans="1:28" s="12" customFormat="1" ht="14.45" customHeight="1" x14ac:dyDescent="0.2">
      <c r="A41" s="944"/>
      <c r="B41" s="944"/>
      <c r="C41" s="944"/>
      <c r="D41" s="944"/>
      <c r="E41" s="939"/>
      <c r="F41" s="940"/>
      <c r="G41" s="939"/>
      <c r="H41" s="940"/>
      <c r="I41" s="939"/>
      <c r="J41" s="940"/>
      <c r="K41" s="975" t="s">
        <v>160</v>
      </c>
      <c r="L41" s="948"/>
      <c r="M41" s="949"/>
      <c r="N41" s="968" t="s">
        <v>626</v>
      </c>
      <c r="O41" s="969"/>
      <c r="P41" s="944"/>
      <c r="Q41" s="944"/>
      <c r="R41" s="939"/>
      <c r="S41" s="940"/>
      <c r="T41" s="939"/>
      <c r="U41" s="940"/>
      <c r="V41" s="941"/>
      <c r="W41" s="974"/>
      <c r="X41" s="974"/>
      <c r="Y41" s="974"/>
      <c r="Z41" s="974"/>
      <c r="AA41" s="942"/>
    </row>
    <row r="42" spans="1:28" s="12" customFormat="1" ht="20.25" customHeight="1" x14ac:dyDescent="0.2">
      <c r="A42" s="944"/>
      <c r="B42" s="944"/>
      <c r="C42" s="944"/>
      <c r="D42" s="944"/>
      <c r="E42" s="941"/>
      <c r="F42" s="942"/>
      <c r="G42" s="941"/>
      <c r="H42" s="942"/>
      <c r="I42" s="941"/>
      <c r="J42" s="942"/>
      <c r="K42" s="950" t="s">
        <v>161</v>
      </c>
      <c r="L42" s="975" t="s">
        <v>247</v>
      </c>
      <c r="M42" s="949"/>
      <c r="N42" s="941"/>
      <c r="O42" s="942"/>
      <c r="P42" s="946"/>
      <c r="Q42" s="946"/>
      <c r="R42" s="941"/>
      <c r="S42" s="942"/>
      <c r="T42" s="941"/>
      <c r="U42" s="942"/>
      <c r="V42" s="975" t="s">
        <v>584</v>
      </c>
      <c r="W42" s="949"/>
      <c r="X42" s="975" t="s">
        <v>585</v>
      </c>
      <c r="Y42" s="949"/>
      <c r="Z42" s="975" t="s">
        <v>586</v>
      </c>
      <c r="AA42" s="949"/>
    </row>
    <row r="43" spans="1:28" s="12" customFormat="1" ht="21" x14ac:dyDescent="0.2">
      <c r="A43" s="945"/>
      <c r="B43" s="945"/>
      <c r="C43" s="945"/>
      <c r="D43" s="945"/>
      <c r="E43" s="154" t="s">
        <v>161</v>
      </c>
      <c r="F43" s="125" t="s">
        <v>162</v>
      </c>
      <c r="G43" s="15" t="s">
        <v>161</v>
      </c>
      <c r="H43" s="16" t="s">
        <v>162</v>
      </c>
      <c r="I43" s="154" t="s">
        <v>161</v>
      </c>
      <c r="J43" s="125" t="s">
        <v>162</v>
      </c>
      <c r="K43" s="1119"/>
      <c r="L43" s="154" t="s">
        <v>161</v>
      </c>
      <c r="M43" s="125" t="s">
        <v>162</v>
      </c>
      <c r="N43" s="154" t="s">
        <v>161</v>
      </c>
      <c r="O43" s="125" t="s">
        <v>162</v>
      </c>
      <c r="P43" s="16" t="s">
        <v>162</v>
      </c>
      <c r="Q43" s="16" t="s">
        <v>162</v>
      </c>
      <c r="R43" s="15" t="s">
        <v>161</v>
      </c>
      <c r="S43" s="16" t="s">
        <v>162</v>
      </c>
      <c r="T43" s="77" t="s">
        <v>161</v>
      </c>
      <c r="U43" s="78" t="s">
        <v>162</v>
      </c>
      <c r="V43" s="218" t="s">
        <v>161</v>
      </c>
      <c r="W43" s="209" t="s">
        <v>162</v>
      </c>
      <c r="X43" s="218" t="s">
        <v>161</v>
      </c>
      <c r="Y43" s="209" t="s">
        <v>162</v>
      </c>
      <c r="Z43" s="218" t="s">
        <v>161</v>
      </c>
      <c r="AA43" s="209" t="s">
        <v>162</v>
      </c>
    </row>
    <row r="44" spans="1:28" s="23" customFormat="1" ht="33.75" x14ac:dyDescent="0.25">
      <c r="A44" s="21" t="s">
        <v>106</v>
      </c>
      <c r="B44" s="21">
        <v>2801</v>
      </c>
      <c r="C44" s="30">
        <v>334626</v>
      </c>
      <c r="D44" s="26">
        <v>43008</v>
      </c>
      <c r="E44" s="21">
        <v>18</v>
      </c>
      <c r="F44" s="41">
        <v>2034626.62</v>
      </c>
      <c r="G44" s="319">
        <v>0</v>
      </c>
      <c r="H44" s="319">
        <v>0</v>
      </c>
      <c r="I44" s="21">
        <v>1</v>
      </c>
      <c r="J44" s="30">
        <v>64253</v>
      </c>
      <c r="K44" s="137">
        <v>1</v>
      </c>
      <c r="L44" s="137">
        <v>1</v>
      </c>
      <c r="M44" s="492">
        <v>64253</v>
      </c>
      <c r="N44" s="137">
        <v>17</v>
      </c>
      <c r="O44" s="335">
        <v>1970373.62</v>
      </c>
      <c r="P44" s="88">
        <f>J44-M44</f>
        <v>0</v>
      </c>
      <c r="Q44" s="88">
        <f>C44-J44</f>
        <v>270373</v>
      </c>
      <c r="R44" s="57">
        <v>1</v>
      </c>
      <c r="S44" s="81">
        <v>63312.88</v>
      </c>
      <c r="T44" s="57">
        <v>0</v>
      </c>
      <c r="U44" s="57">
        <v>0</v>
      </c>
      <c r="V44" s="22">
        <v>0</v>
      </c>
      <c r="W44" s="22">
        <v>0</v>
      </c>
      <c r="X44" s="22">
        <v>0</v>
      </c>
      <c r="Y44" s="22">
        <v>0</v>
      </c>
      <c r="Z44" s="22">
        <v>0</v>
      </c>
      <c r="AA44" s="22">
        <v>0</v>
      </c>
    </row>
    <row r="45" spans="1:28" x14ac:dyDescent="0.25">
      <c r="A45" s="59" t="s">
        <v>225</v>
      </c>
      <c r="B45" s="59"/>
      <c r="C45" s="60">
        <f>SUM(C44:C44)</f>
        <v>334626</v>
      </c>
      <c r="D45" s="60"/>
      <c r="E45" s="60">
        <f t="shared" ref="E45:AA45" si="4">SUM(E44:E44)</f>
        <v>18</v>
      </c>
      <c r="F45" s="60">
        <f t="shared" si="4"/>
        <v>2034626.62</v>
      </c>
      <c r="G45" s="60">
        <f t="shared" si="4"/>
        <v>0</v>
      </c>
      <c r="H45" s="60">
        <f t="shared" si="4"/>
        <v>0</v>
      </c>
      <c r="I45" s="60">
        <f t="shared" si="4"/>
        <v>1</v>
      </c>
      <c r="J45" s="60">
        <f t="shared" si="4"/>
        <v>64253</v>
      </c>
      <c r="K45" s="60">
        <f t="shared" si="4"/>
        <v>1</v>
      </c>
      <c r="L45" s="60">
        <f t="shared" si="4"/>
        <v>1</v>
      </c>
      <c r="M45" s="60">
        <f t="shared" si="4"/>
        <v>64253</v>
      </c>
      <c r="N45" s="60">
        <f t="shared" si="4"/>
        <v>17</v>
      </c>
      <c r="O45" s="60">
        <f t="shared" si="4"/>
        <v>1970373.62</v>
      </c>
      <c r="P45" s="60">
        <f t="shared" si="4"/>
        <v>0</v>
      </c>
      <c r="Q45" s="60">
        <f t="shared" si="4"/>
        <v>270373</v>
      </c>
      <c r="R45" s="60">
        <f t="shared" si="4"/>
        <v>1</v>
      </c>
      <c r="S45" s="60">
        <f t="shared" si="4"/>
        <v>63312.88</v>
      </c>
      <c r="T45" s="60">
        <f t="shared" si="4"/>
        <v>0</v>
      </c>
      <c r="U45" s="60">
        <f t="shared" si="4"/>
        <v>0</v>
      </c>
      <c r="V45" s="20">
        <f t="shared" si="4"/>
        <v>0</v>
      </c>
      <c r="W45" s="20">
        <f t="shared" si="4"/>
        <v>0</v>
      </c>
      <c r="X45" s="20">
        <f t="shared" si="4"/>
        <v>0</v>
      </c>
      <c r="Y45" s="20">
        <f t="shared" si="4"/>
        <v>0</v>
      </c>
      <c r="Z45" s="20">
        <f t="shared" si="4"/>
        <v>0</v>
      </c>
      <c r="AA45" s="20">
        <f t="shared" si="4"/>
        <v>0</v>
      </c>
    </row>
    <row r="46" spans="1:28" s="23" customFormat="1" ht="13.15" customHeight="1" x14ac:dyDescent="0.25">
      <c r="A46" s="118"/>
      <c r="B46" s="118"/>
      <c r="C46" s="119"/>
      <c r="D46" s="119"/>
      <c r="E46" s="119"/>
      <c r="F46" s="119"/>
      <c r="G46" s="119"/>
      <c r="H46" s="119"/>
      <c r="I46" s="119"/>
      <c r="J46" s="119"/>
      <c r="K46" s="119"/>
      <c r="L46" s="119"/>
      <c r="M46" s="119"/>
      <c r="N46" s="119"/>
      <c r="O46" s="119"/>
      <c r="P46" s="119"/>
      <c r="Q46" s="119"/>
      <c r="R46" s="119"/>
      <c r="S46" s="119"/>
      <c r="T46" s="119"/>
      <c r="U46" s="119"/>
    </row>
    <row r="47" spans="1:28" ht="25.9" customHeight="1" x14ac:dyDescent="0.25">
      <c r="A47" s="982" t="s">
        <v>226</v>
      </c>
      <c r="B47" s="982"/>
      <c r="C47" s="982"/>
      <c r="D47" s="982"/>
      <c r="E47" s="982"/>
      <c r="F47" s="982"/>
      <c r="G47" s="982"/>
      <c r="H47" s="982"/>
      <c r="I47" s="982"/>
      <c r="J47" s="982"/>
      <c r="K47" s="982"/>
      <c r="L47" s="982"/>
      <c r="M47" s="982"/>
      <c r="N47" s="982"/>
      <c r="O47" s="982"/>
      <c r="P47" s="982"/>
      <c r="Q47" s="982"/>
      <c r="R47" s="982"/>
      <c r="S47" s="982"/>
      <c r="T47" s="982"/>
      <c r="U47" s="982"/>
      <c r="V47" s="982"/>
      <c r="W47" s="982"/>
      <c r="X47" s="982"/>
      <c r="Y47" s="982"/>
      <c r="Z47" s="982"/>
      <c r="AA47" s="982"/>
    </row>
    <row r="48" spans="1:28" s="12" customFormat="1" ht="28.9" customHeight="1" x14ac:dyDescent="0.2">
      <c r="A48" s="943" t="s">
        <v>156</v>
      </c>
      <c r="B48" s="943" t="s">
        <v>282</v>
      </c>
      <c r="C48" s="943" t="s">
        <v>157</v>
      </c>
      <c r="D48" s="943" t="s">
        <v>158</v>
      </c>
      <c r="E48" s="937" t="s">
        <v>337</v>
      </c>
      <c r="F48" s="938"/>
      <c r="G48" s="937" t="s">
        <v>277</v>
      </c>
      <c r="H48" s="938"/>
      <c r="I48" s="937" t="s">
        <v>159</v>
      </c>
      <c r="J48" s="938"/>
      <c r="K48" s="975" t="s">
        <v>749</v>
      </c>
      <c r="L48" s="948"/>
      <c r="M48" s="948"/>
      <c r="N48" s="948"/>
      <c r="O48" s="949"/>
      <c r="P48" s="943" t="s">
        <v>250</v>
      </c>
      <c r="Q48" s="943" t="s">
        <v>625</v>
      </c>
      <c r="R48" s="968" t="s">
        <v>750</v>
      </c>
      <c r="S48" s="969"/>
      <c r="T48" s="968" t="s">
        <v>751</v>
      </c>
      <c r="U48" s="969"/>
      <c r="V48" s="968" t="s">
        <v>751</v>
      </c>
      <c r="W48" s="973"/>
      <c r="X48" s="973"/>
      <c r="Y48" s="973"/>
      <c r="Z48" s="973"/>
      <c r="AA48" s="969"/>
    </row>
    <row r="49" spans="1:27" s="12" customFormat="1" ht="14.45" customHeight="1" x14ac:dyDescent="0.2">
      <c r="A49" s="944"/>
      <c r="B49" s="944"/>
      <c r="C49" s="944"/>
      <c r="D49" s="944"/>
      <c r="E49" s="939"/>
      <c r="F49" s="940"/>
      <c r="G49" s="939"/>
      <c r="H49" s="940"/>
      <c r="I49" s="939"/>
      <c r="J49" s="940"/>
      <c r="K49" s="975" t="s">
        <v>160</v>
      </c>
      <c r="L49" s="948"/>
      <c r="M49" s="949"/>
      <c r="N49" s="968" t="s">
        <v>626</v>
      </c>
      <c r="O49" s="969"/>
      <c r="P49" s="944"/>
      <c r="Q49" s="944"/>
      <c r="R49" s="939"/>
      <c r="S49" s="940"/>
      <c r="T49" s="939"/>
      <c r="U49" s="940"/>
      <c r="V49" s="941"/>
      <c r="W49" s="974"/>
      <c r="X49" s="974"/>
      <c r="Y49" s="974"/>
      <c r="Z49" s="974"/>
      <c r="AA49" s="942"/>
    </row>
    <row r="50" spans="1:27" s="12" customFormat="1" ht="20.25" customHeight="1" x14ac:dyDescent="0.2">
      <c r="A50" s="944"/>
      <c r="B50" s="944"/>
      <c r="C50" s="944"/>
      <c r="D50" s="944"/>
      <c r="E50" s="941"/>
      <c r="F50" s="942"/>
      <c r="G50" s="941"/>
      <c r="H50" s="942"/>
      <c r="I50" s="941"/>
      <c r="J50" s="942"/>
      <c r="K50" s="950" t="s">
        <v>161</v>
      </c>
      <c r="L50" s="975" t="s">
        <v>247</v>
      </c>
      <c r="M50" s="949"/>
      <c r="N50" s="941"/>
      <c r="O50" s="942"/>
      <c r="P50" s="946"/>
      <c r="Q50" s="946"/>
      <c r="R50" s="941"/>
      <c r="S50" s="942"/>
      <c r="T50" s="941"/>
      <c r="U50" s="942"/>
      <c r="V50" s="975" t="s">
        <v>584</v>
      </c>
      <c r="W50" s="949"/>
      <c r="X50" s="975" t="s">
        <v>585</v>
      </c>
      <c r="Y50" s="949"/>
      <c r="Z50" s="975" t="s">
        <v>586</v>
      </c>
      <c r="AA50" s="949"/>
    </row>
    <row r="51" spans="1:27" s="12" customFormat="1" ht="21" x14ac:dyDescent="0.2">
      <c r="A51" s="945"/>
      <c r="B51" s="945"/>
      <c r="C51" s="945"/>
      <c r="D51" s="945"/>
      <c r="E51" s="154" t="s">
        <v>161</v>
      </c>
      <c r="F51" s="125" t="s">
        <v>162</v>
      </c>
      <c r="G51" s="15" t="s">
        <v>161</v>
      </c>
      <c r="H51" s="16" t="s">
        <v>162</v>
      </c>
      <c r="I51" s="154" t="s">
        <v>161</v>
      </c>
      <c r="J51" s="125" t="s">
        <v>162</v>
      </c>
      <c r="K51" s="1119"/>
      <c r="L51" s="154" t="s">
        <v>161</v>
      </c>
      <c r="M51" s="125" t="s">
        <v>162</v>
      </c>
      <c r="N51" s="154" t="s">
        <v>161</v>
      </c>
      <c r="O51" s="125" t="s">
        <v>162</v>
      </c>
      <c r="P51" s="16" t="s">
        <v>162</v>
      </c>
      <c r="Q51" s="16" t="s">
        <v>162</v>
      </c>
      <c r="R51" s="15" t="s">
        <v>161</v>
      </c>
      <c r="S51" s="16" t="s">
        <v>162</v>
      </c>
      <c r="T51" s="77" t="s">
        <v>161</v>
      </c>
      <c r="U51" s="78" t="s">
        <v>162</v>
      </c>
      <c r="V51" s="218" t="s">
        <v>161</v>
      </c>
      <c r="W51" s="209" t="s">
        <v>162</v>
      </c>
      <c r="X51" s="218" t="s">
        <v>161</v>
      </c>
      <c r="Y51" s="209" t="s">
        <v>162</v>
      </c>
      <c r="Z51" s="218" t="s">
        <v>161</v>
      </c>
      <c r="AA51" s="209" t="s">
        <v>162</v>
      </c>
    </row>
    <row r="52" spans="1:27" s="23" customFormat="1" ht="22.5" x14ac:dyDescent="0.25">
      <c r="A52" s="29" t="s">
        <v>107</v>
      </c>
      <c r="B52" s="29">
        <v>11621</v>
      </c>
      <c r="C52" s="94">
        <v>415698</v>
      </c>
      <c r="D52" s="106">
        <v>43251</v>
      </c>
      <c r="E52" s="29">
        <v>26</v>
      </c>
      <c r="F52" s="172">
        <v>2529925.67</v>
      </c>
      <c r="G52" s="173">
        <v>0</v>
      </c>
      <c r="H52" s="173">
        <v>0</v>
      </c>
      <c r="I52" s="29">
        <v>5</v>
      </c>
      <c r="J52" s="81">
        <v>477759.64999999997</v>
      </c>
      <c r="K52" s="57">
        <v>5</v>
      </c>
      <c r="L52" s="57">
        <v>5</v>
      </c>
      <c r="M52" s="81">
        <v>477759.64999999997</v>
      </c>
      <c r="N52" s="29">
        <v>21</v>
      </c>
      <c r="O52" s="172">
        <v>2035442.71</v>
      </c>
      <c r="P52" s="88">
        <f>J52-M52</f>
        <v>0</v>
      </c>
      <c r="Q52" s="88">
        <v>0</v>
      </c>
      <c r="R52" s="57">
        <v>4</v>
      </c>
      <c r="S52" s="88">
        <v>272151.98</v>
      </c>
      <c r="T52" s="57">
        <v>2</v>
      </c>
      <c r="U52" s="172">
        <v>91852.83</v>
      </c>
      <c r="V52" s="22">
        <v>0</v>
      </c>
      <c r="W52" s="22">
        <v>0</v>
      </c>
      <c r="X52" s="22">
        <v>0</v>
      </c>
      <c r="Y52" s="22">
        <v>0</v>
      </c>
      <c r="Z52" s="57">
        <v>1</v>
      </c>
      <c r="AA52" s="172">
        <v>91852.83</v>
      </c>
    </row>
    <row r="53" spans="1:27" x14ac:dyDescent="0.25">
      <c r="A53" s="59" t="s">
        <v>227</v>
      </c>
      <c r="B53" s="59"/>
      <c r="C53" s="60">
        <f>SUM(C52:C52)</f>
        <v>415698</v>
      </c>
      <c r="D53" s="60"/>
      <c r="E53" s="60">
        <f t="shared" ref="E53:AA53" si="5">SUM(E52:E52)</f>
        <v>26</v>
      </c>
      <c r="F53" s="60">
        <f t="shared" si="5"/>
        <v>2529925.67</v>
      </c>
      <c r="G53" s="60">
        <f t="shared" si="5"/>
        <v>0</v>
      </c>
      <c r="H53" s="60">
        <f t="shared" si="5"/>
        <v>0</v>
      </c>
      <c r="I53" s="60">
        <f t="shared" si="5"/>
        <v>5</v>
      </c>
      <c r="J53" s="60">
        <f t="shared" si="5"/>
        <v>477759.64999999997</v>
      </c>
      <c r="K53" s="60">
        <f t="shared" si="5"/>
        <v>5</v>
      </c>
      <c r="L53" s="60">
        <f t="shared" si="5"/>
        <v>5</v>
      </c>
      <c r="M53" s="60">
        <f t="shared" si="5"/>
        <v>477759.64999999997</v>
      </c>
      <c r="N53" s="60">
        <f t="shared" si="5"/>
        <v>21</v>
      </c>
      <c r="O53" s="60">
        <f t="shared" si="5"/>
        <v>2035442.71</v>
      </c>
      <c r="P53" s="60">
        <f t="shared" si="5"/>
        <v>0</v>
      </c>
      <c r="Q53" s="60">
        <f t="shared" si="5"/>
        <v>0</v>
      </c>
      <c r="R53" s="60">
        <f t="shared" si="5"/>
        <v>4</v>
      </c>
      <c r="S53" s="60">
        <f t="shared" si="5"/>
        <v>272151.98</v>
      </c>
      <c r="T53" s="60">
        <f t="shared" si="5"/>
        <v>2</v>
      </c>
      <c r="U53" s="60">
        <f t="shared" si="5"/>
        <v>91852.83</v>
      </c>
      <c r="V53" s="20">
        <f t="shared" si="5"/>
        <v>0</v>
      </c>
      <c r="W53" s="20">
        <f t="shared" si="5"/>
        <v>0</v>
      </c>
      <c r="X53" s="20">
        <f t="shared" si="5"/>
        <v>0</v>
      </c>
      <c r="Y53" s="20">
        <f t="shared" si="5"/>
        <v>0</v>
      </c>
      <c r="Z53" s="20">
        <f t="shared" si="5"/>
        <v>1</v>
      </c>
      <c r="AA53" s="20">
        <f t="shared" si="5"/>
        <v>91852.83</v>
      </c>
    </row>
    <row r="54" spans="1:27" ht="15" customHeight="1" x14ac:dyDescent="0.25">
      <c r="A54" s="210" t="s">
        <v>390</v>
      </c>
      <c r="B54" s="134"/>
      <c r="C54" s="134"/>
      <c r="D54" s="134"/>
      <c r="E54" s="134"/>
      <c r="F54" s="134"/>
      <c r="G54" s="134"/>
      <c r="H54" s="134"/>
      <c r="I54" s="134"/>
      <c r="J54" s="134"/>
      <c r="K54" s="134"/>
      <c r="L54" s="134"/>
      <c r="M54" s="134"/>
      <c r="N54" s="134"/>
      <c r="O54" s="134"/>
      <c r="P54" s="134"/>
      <c r="Q54" s="134"/>
      <c r="R54" s="134"/>
      <c r="S54" s="134"/>
    </row>
    <row r="55" spans="1:27" s="23" customFormat="1" ht="15.6" customHeight="1" x14ac:dyDescent="0.25">
      <c r="A55" s="935" t="s">
        <v>744</v>
      </c>
      <c r="B55" s="935"/>
      <c r="C55" s="935"/>
      <c r="D55" s="935"/>
      <c r="E55" s="935"/>
      <c r="F55" s="935"/>
      <c r="G55" s="935"/>
      <c r="H55" s="935"/>
      <c r="I55" s="935"/>
      <c r="J55" s="935"/>
      <c r="K55" s="935"/>
      <c r="L55" s="935"/>
      <c r="M55" s="935"/>
      <c r="N55" s="935"/>
      <c r="O55" s="935"/>
      <c r="P55" s="935"/>
      <c r="Q55" s="935"/>
      <c r="R55" s="935"/>
      <c r="S55" s="935"/>
      <c r="T55" s="935"/>
      <c r="U55" s="935"/>
      <c r="V55" s="935"/>
      <c r="W55" s="935"/>
      <c r="X55" s="935"/>
      <c r="Y55" s="935"/>
      <c r="Z55" s="935"/>
      <c r="AA55" s="935"/>
    </row>
    <row r="56" spans="1:27" x14ac:dyDescent="0.25">
      <c r="E56" s="50"/>
      <c r="I56" s="50"/>
    </row>
  </sheetData>
  <mergeCells count="130">
    <mergeCell ref="Q2:Q4"/>
    <mergeCell ref="R2:S4"/>
    <mergeCell ref="T2:U4"/>
    <mergeCell ref="V2:AA3"/>
    <mergeCell ref="K3:M3"/>
    <mergeCell ref="N3:O4"/>
    <mergeCell ref="K4:K5"/>
    <mergeCell ref="L4:M4"/>
    <mergeCell ref="V4:W4"/>
    <mergeCell ref="X4:Y4"/>
    <mergeCell ref="Z4:AA4"/>
    <mergeCell ref="A2:A5"/>
    <mergeCell ref="B2:B5"/>
    <mergeCell ref="C2:C5"/>
    <mergeCell ref="D2:D5"/>
    <mergeCell ref="E2:F4"/>
    <mergeCell ref="G2:H4"/>
    <mergeCell ref="I2:J4"/>
    <mergeCell ref="K2:O2"/>
    <mergeCell ref="P2:P4"/>
    <mergeCell ref="Q11:Q13"/>
    <mergeCell ref="G11:H13"/>
    <mergeCell ref="B11:B14"/>
    <mergeCell ref="T31:U33"/>
    <mergeCell ref="R31:S33"/>
    <mergeCell ref="C48:C51"/>
    <mergeCell ref="D48:D51"/>
    <mergeCell ref="E48:F50"/>
    <mergeCell ref="I48:J50"/>
    <mergeCell ref="C31:C34"/>
    <mergeCell ref="D31:D34"/>
    <mergeCell ref="E31:F33"/>
    <mergeCell ref="B31:B34"/>
    <mergeCell ref="N32:O33"/>
    <mergeCell ref="K33:K34"/>
    <mergeCell ref="L33:M33"/>
    <mergeCell ref="K31:O31"/>
    <mergeCell ref="K32:M32"/>
    <mergeCell ref="I31:J33"/>
    <mergeCell ref="G31:H33"/>
    <mergeCell ref="C40:C43"/>
    <mergeCell ref="B48:B51"/>
    <mergeCell ref="R48:S50"/>
    <mergeCell ref="T48:U50"/>
    <mergeCell ref="N49:O50"/>
    <mergeCell ref="K50:K51"/>
    <mergeCell ref="L50:M50"/>
    <mergeCell ref="Q48:Q50"/>
    <mergeCell ref="K48:O48"/>
    <mergeCell ref="P48:P50"/>
    <mergeCell ref="P31:P33"/>
    <mergeCell ref="D40:D43"/>
    <mergeCell ref="K49:M49"/>
    <mergeCell ref="I20:J22"/>
    <mergeCell ref="Q31:Q33"/>
    <mergeCell ref="Q40:Q42"/>
    <mergeCell ref="E40:F42"/>
    <mergeCell ref="I40:J42"/>
    <mergeCell ref="A27:K27"/>
    <mergeCell ref="A37:K37"/>
    <mergeCell ref="G20:H22"/>
    <mergeCell ref="B20:B23"/>
    <mergeCell ref="B40:B43"/>
    <mergeCell ref="K21:M21"/>
    <mergeCell ref="K22:K23"/>
    <mergeCell ref="N21:O22"/>
    <mergeCell ref="L22:M22"/>
    <mergeCell ref="Q20:Q22"/>
    <mergeCell ref="K20:O20"/>
    <mergeCell ref="V11:AA12"/>
    <mergeCell ref="V13:W13"/>
    <mergeCell ref="X13:Y13"/>
    <mergeCell ref="Z13:AA13"/>
    <mergeCell ref="V20:AA21"/>
    <mergeCell ref="D11:D14"/>
    <mergeCell ref="E20:F22"/>
    <mergeCell ref="D20:D23"/>
    <mergeCell ref="E11:F13"/>
    <mergeCell ref="R11:S13"/>
    <mergeCell ref="T11:U13"/>
    <mergeCell ref="K12:M12"/>
    <mergeCell ref="N12:O13"/>
    <mergeCell ref="P11:P13"/>
    <mergeCell ref="T20:U22"/>
    <mergeCell ref="P20:P22"/>
    <mergeCell ref="R20:S22"/>
    <mergeCell ref="K13:K14"/>
    <mergeCell ref="L13:M13"/>
    <mergeCell ref="A17:K17"/>
    <mergeCell ref="A20:A23"/>
    <mergeCell ref="C20:C23"/>
    <mergeCell ref="I11:J13"/>
    <mergeCell ref="K11:O11"/>
    <mergeCell ref="Z42:AA42"/>
    <mergeCell ref="A28:AA28"/>
    <mergeCell ref="A39:U39"/>
    <mergeCell ref="T40:U42"/>
    <mergeCell ref="K41:M41"/>
    <mergeCell ref="N41:O42"/>
    <mergeCell ref="K42:K43"/>
    <mergeCell ref="L42:M42"/>
    <mergeCell ref="K40:O40"/>
    <mergeCell ref="P40:P42"/>
    <mergeCell ref="R40:S42"/>
    <mergeCell ref="A31:A34"/>
    <mergeCell ref="A40:A43"/>
    <mergeCell ref="A48:A51"/>
    <mergeCell ref="G48:H50"/>
    <mergeCell ref="G40:H42"/>
    <mergeCell ref="A9:AA9"/>
    <mergeCell ref="A11:A14"/>
    <mergeCell ref="C11:C14"/>
    <mergeCell ref="A55:AA55"/>
    <mergeCell ref="A47:AA47"/>
    <mergeCell ref="A30:AA30"/>
    <mergeCell ref="A19:AA19"/>
    <mergeCell ref="V48:AA49"/>
    <mergeCell ref="V50:W50"/>
    <mergeCell ref="X50:Y50"/>
    <mergeCell ref="Z50:AA50"/>
    <mergeCell ref="V22:W22"/>
    <mergeCell ref="X22:Y22"/>
    <mergeCell ref="Z22:AA22"/>
    <mergeCell ref="V31:AA32"/>
    <mergeCell ref="V33:W33"/>
    <mergeCell ref="X33:Y33"/>
    <mergeCell ref="Z33:AA33"/>
    <mergeCell ref="V40:AA41"/>
    <mergeCell ref="V42:W42"/>
    <mergeCell ref="X42:Y42"/>
  </mergeCells>
  <pageMargins left="0.70866141732283472" right="0.51181102362204722" top="0.74803149606299213" bottom="0.74803149606299213" header="0.31496062992125984" footer="0.31496062992125984"/>
  <pageSetup paperSize="9" scale="65" orientation="landscape" r:id="rId1"/>
  <rowBreaks count="1" manualBreakCount="1">
    <brk id="28" max="2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A42"/>
  <sheetViews>
    <sheetView view="pageBreakPreview" topLeftCell="A13" zoomScaleNormal="100" zoomScaleSheetLayoutView="100" workbookViewId="0">
      <selection activeCell="A17" sqref="A17:T17"/>
    </sheetView>
  </sheetViews>
  <sheetFormatPr defaultColWidth="8.7109375" defaultRowHeight="15" x14ac:dyDescent="0.25"/>
  <cols>
    <col min="1" max="1" width="12.7109375" customWidth="1"/>
    <col min="2" max="2" width="7.28515625" customWidth="1"/>
    <col min="3" max="3" width="9.7109375" customWidth="1"/>
    <col min="5" max="5" width="4.85546875" bestFit="1" customWidth="1"/>
    <col min="7" max="7" width="2.85546875" customWidth="1"/>
    <col min="8" max="8" width="7.42578125" customWidth="1"/>
    <col min="9" max="9" width="4.42578125" customWidth="1"/>
    <col min="10" max="10" width="9.5703125" customWidth="1"/>
    <col min="11" max="12" width="4.7109375" customWidth="1"/>
    <col min="13" max="13" width="8.42578125" customWidth="1"/>
    <col min="14" max="14" width="3.42578125" customWidth="1"/>
    <col min="15" max="15" width="8.42578125" customWidth="1"/>
    <col min="16" max="16" width="8.85546875" bestFit="1" customWidth="1"/>
    <col min="17" max="17" width="4.28515625" bestFit="1" customWidth="1"/>
    <col min="18" max="18" width="9.5703125" customWidth="1"/>
    <col min="19" max="19" width="4.140625" customWidth="1"/>
    <col min="20" max="20" width="10.85546875" bestFit="1" customWidth="1"/>
    <col min="21" max="21" width="3.85546875" style="139" customWidth="1"/>
    <col min="22" max="22" width="7.85546875" bestFit="1" customWidth="1"/>
    <col min="23" max="23" width="5.28515625" customWidth="1"/>
    <col min="24" max="24" width="9.140625" bestFit="1" customWidth="1"/>
    <col min="25" max="25" width="3.28515625" customWidth="1"/>
    <col min="28" max="28" width="12" bestFit="1" customWidth="1"/>
  </cols>
  <sheetData>
    <row r="1" spans="1:26" x14ac:dyDescent="0.25">
      <c r="A1" s="1121" t="s">
        <v>348</v>
      </c>
      <c r="B1" s="1121"/>
      <c r="C1" s="1121"/>
      <c r="D1" s="1121"/>
    </row>
    <row r="2" spans="1:26" s="12" customFormat="1" ht="28.9" customHeight="1" x14ac:dyDescent="0.2">
      <c r="A2" s="943" t="s">
        <v>156</v>
      </c>
      <c r="B2" s="943" t="s">
        <v>282</v>
      </c>
      <c r="C2" s="943" t="s">
        <v>157</v>
      </c>
      <c r="D2" s="943" t="s">
        <v>158</v>
      </c>
      <c r="E2" s="968" t="s">
        <v>337</v>
      </c>
      <c r="F2" s="969"/>
      <c r="G2" s="968" t="s">
        <v>277</v>
      </c>
      <c r="H2" s="969"/>
      <c r="I2" s="968" t="s">
        <v>159</v>
      </c>
      <c r="J2" s="969"/>
      <c r="K2" s="975" t="s">
        <v>749</v>
      </c>
      <c r="L2" s="948"/>
      <c r="M2" s="948"/>
      <c r="N2" s="948"/>
      <c r="O2" s="949"/>
      <c r="P2" s="943" t="s">
        <v>250</v>
      </c>
      <c r="Q2" s="968" t="s">
        <v>750</v>
      </c>
      <c r="R2" s="969"/>
      <c r="S2" s="968" t="s">
        <v>751</v>
      </c>
      <c r="T2" s="969"/>
      <c r="U2" s="968" t="s">
        <v>751</v>
      </c>
      <c r="V2" s="973"/>
      <c r="W2" s="973"/>
      <c r="X2" s="973"/>
      <c r="Y2" s="973"/>
      <c r="Z2" s="969"/>
    </row>
    <row r="3" spans="1:26" s="12" customFormat="1" ht="14.45" customHeight="1" x14ac:dyDescent="0.2">
      <c r="A3" s="944"/>
      <c r="B3" s="944"/>
      <c r="C3" s="944"/>
      <c r="D3" s="944"/>
      <c r="E3" s="939"/>
      <c r="F3" s="940"/>
      <c r="G3" s="939"/>
      <c r="H3" s="940"/>
      <c r="I3" s="939"/>
      <c r="J3" s="940"/>
      <c r="K3" s="975" t="s">
        <v>160</v>
      </c>
      <c r="L3" s="948"/>
      <c r="M3" s="949"/>
      <c r="N3" s="968" t="s">
        <v>626</v>
      </c>
      <c r="O3" s="969"/>
      <c r="P3" s="944"/>
      <c r="Q3" s="939"/>
      <c r="R3" s="940"/>
      <c r="S3" s="939"/>
      <c r="T3" s="940"/>
      <c r="U3" s="941"/>
      <c r="V3" s="974"/>
      <c r="W3" s="974"/>
      <c r="X3" s="974"/>
      <c r="Y3" s="974"/>
      <c r="Z3" s="942"/>
    </row>
    <row r="4" spans="1:26" s="12" customFormat="1" ht="20.25" customHeight="1" x14ac:dyDescent="0.2">
      <c r="A4" s="944"/>
      <c r="B4" s="944"/>
      <c r="C4" s="944"/>
      <c r="D4" s="944"/>
      <c r="E4" s="941"/>
      <c r="F4" s="942"/>
      <c r="G4" s="941"/>
      <c r="H4" s="942"/>
      <c r="I4" s="941"/>
      <c r="J4" s="942"/>
      <c r="K4" s="950" t="s">
        <v>161</v>
      </c>
      <c r="L4" s="975" t="s">
        <v>247</v>
      </c>
      <c r="M4" s="949"/>
      <c r="N4" s="941"/>
      <c r="O4" s="942"/>
      <c r="P4" s="946"/>
      <c r="Q4" s="941"/>
      <c r="R4" s="942"/>
      <c r="S4" s="941"/>
      <c r="T4" s="942"/>
      <c r="U4" s="975" t="s">
        <v>584</v>
      </c>
      <c r="V4" s="949"/>
      <c r="W4" s="975" t="s">
        <v>585</v>
      </c>
      <c r="X4" s="949"/>
      <c r="Y4" s="975" t="s">
        <v>586</v>
      </c>
      <c r="Z4" s="949"/>
    </row>
    <row r="5" spans="1:26" s="12" customFormat="1" ht="21" x14ac:dyDescent="0.2">
      <c r="A5" s="945"/>
      <c r="B5" s="946"/>
      <c r="C5" s="945"/>
      <c r="D5" s="945"/>
      <c r="E5" s="154" t="s">
        <v>161</v>
      </c>
      <c r="F5" s="125" t="s">
        <v>162</v>
      </c>
      <c r="G5" s="15" t="s">
        <v>161</v>
      </c>
      <c r="H5" s="16" t="s">
        <v>162</v>
      </c>
      <c r="I5" s="154" t="s">
        <v>161</v>
      </c>
      <c r="J5" s="125" t="s">
        <v>162</v>
      </c>
      <c r="K5" s="1119"/>
      <c r="L5" s="154" t="s">
        <v>161</v>
      </c>
      <c r="M5" s="125" t="s">
        <v>162</v>
      </c>
      <c r="N5" s="154" t="s">
        <v>161</v>
      </c>
      <c r="O5" s="125" t="s">
        <v>162</v>
      </c>
      <c r="P5" s="16" t="s">
        <v>162</v>
      </c>
      <c r="Q5" s="15" t="s">
        <v>161</v>
      </c>
      <c r="R5" s="16" t="s">
        <v>162</v>
      </c>
      <c r="S5" s="77" t="s">
        <v>161</v>
      </c>
      <c r="T5" s="78" t="s">
        <v>162</v>
      </c>
      <c r="U5" s="218" t="s">
        <v>161</v>
      </c>
      <c r="V5" s="209" t="s">
        <v>162</v>
      </c>
      <c r="W5" s="218" t="s">
        <v>161</v>
      </c>
      <c r="X5" s="209" t="s">
        <v>162</v>
      </c>
      <c r="Y5" s="218" t="s">
        <v>161</v>
      </c>
      <c r="Z5" s="209" t="s">
        <v>162</v>
      </c>
    </row>
    <row r="6" spans="1:26" s="23" customFormat="1" ht="22.5" x14ac:dyDescent="0.25">
      <c r="A6" s="174" t="s">
        <v>228</v>
      </c>
      <c r="B6" s="137">
        <v>2641</v>
      </c>
      <c r="C6" s="221">
        <v>725817</v>
      </c>
      <c r="D6" s="115">
        <v>43069</v>
      </c>
      <c r="E6" s="221">
        <v>17</v>
      </c>
      <c r="F6" s="222">
        <v>784141.38</v>
      </c>
      <c r="G6" s="222">
        <v>0</v>
      </c>
      <c r="H6" s="222">
        <v>0</v>
      </c>
      <c r="I6" s="221">
        <v>16</v>
      </c>
      <c r="J6" s="107">
        <v>725817</v>
      </c>
      <c r="K6" s="221">
        <v>16</v>
      </c>
      <c r="L6" s="221">
        <v>16</v>
      </c>
      <c r="M6" s="107">
        <v>725817</v>
      </c>
      <c r="N6" s="47">
        <v>1</v>
      </c>
      <c r="O6" s="47">
        <v>50000</v>
      </c>
      <c r="P6" s="61">
        <f>J6-M6</f>
        <v>0</v>
      </c>
      <c r="Q6" s="113">
        <v>16</v>
      </c>
      <c r="R6" s="342">
        <v>727454</v>
      </c>
      <c r="S6" s="75">
        <v>16</v>
      </c>
      <c r="T6" s="75">
        <v>727454.03999999992</v>
      </c>
      <c r="U6" s="22">
        <v>0</v>
      </c>
      <c r="V6" s="22">
        <v>0</v>
      </c>
      <c r="W6" s="22">
        <v>0</v>
      </c>
      <c r="X6" s="22">
        <v>0</v>
      </c>
      <c r="Y6" s="22">
        <v>16</v>
      </c>
      <c r="Z6" s="22">
        <v>727454.03999999992</v>
      </c>
    </row>
    <row r="7" spans="1:26" ht="14.25" customHeight="1" x14ac:dyDescent="0.25">
      <c r="A7" s="59" t="s">
        <v>229</v>
      </c>
      <c r="B7" s="59"/>
      <c r="C7" s="60">
        <f>SUM(C6:C6)</f>
        <v>725817</v>
      </c>
      <c r="D7" s="60"/>
      <c r="E7" s="60">
        <f t="shared" ref="E7:Z7" si="0">SUM(E6:E6)</f>
        <v>17</v>
      </c>
      <c r="F7" s="60">
        <f t="shared" si="0"/>
        <v>784141.38</v>
      </c>
      <c r="G7" s="60">
        <f t="shared" si="0"/>
        <v>0</v>
      </c>
      <c r="H7" s="60">
        <f t="shared" si="0"/>
        <v>0</v>
      </c>
      <c r="I7" s="60">
        <f t="shared" si="0"/>
        <v>16</v>
      </c>
      <c r="J7" s="60">
        <f t="shared" si="0"/>
        <v>725817</v>
      </c>
      <c r="K7" s="60">
        <f>K6</f>
        <v>16</v>
      </c>
      <c r="L7" s="60">
        <f>L6</f>
        <v>16</v>
      </c>
      <c r="M7" s="60">
        <f>M6</f>
        <v>725817</v>
      </c>
      <c r="N7" s="60">
        <f t="shared" si="0"/>
        <v>1</v>
      </c>
      <c r="O7" s="60">
        <f t="shared" si="0"/>
        <v>50000</v>
      </c>
      <c r="P7" s="60">
        <f t="shared" si="0"/>
        <v>0</v>
      </c>
      <c r="Q7" s="60">
        <f t="shared" si="0"/>
        <v>16</v>
      </c>
      <c r="R7" s="60">
        <f t="shared" si="0"/>
        <v>727454</v>
      </c>
      <c r="S7" s="60">
        <f t="shared" si="0"/>
        <v>16</v>
      </c>
      <c r="T7" s="60">
        <f t="shared" si="0"/>
        <v>727454.03999999992</v>
      </c>
      <c r="U7" s="20">
        <f t="shared" si="0"/>
        <v>0</v>
      </c>
      <c r="V7" s="20">
        <f t="shared" si="0"/>
        <v>0</v>
      </c>
      <c r="W7" s="20">
        <f t="shared" si="0"/>
        <v>0</v>
      </c>
      <c r="X7" s="20">
        <f t="shared" si="0"/>
        <v>0</v>
      </c>
      <c r="Y7" s="20">
        <f t="shared" si="0"/>
        <v>16</v>
      </c>
      <c r="Z7" s="20">
        <f t="shared" si="0"/>
        <v>727454.03999999992</v>
      </c>
    </row>
    <row r="8" spans="1:26" s="23" customFormat="1" ht="15" customHeight="1" x14ac:dyDescent="0.25">
      <c r="A8" s="781" t="s">
        <v>542</v>
      </c>
      <c r="B8" s="781"/>
      <c r="C8" s="781"/>
      <c r="D8" s="781"/>
      <c r="E8" s="781"/>
      <c r="F8" s="781"/>
      <c r="G8" s="781"/>
      <c r="H8" s="781"/>
      <c r="I8" s="781"/>
      <c r="J8" s="781"/>
      <c r="K8" s="781"/>
      <c r="L8" s="781"/>
      <c r="M8" s="781"/>
      <c r="N8" s="781"/>
      <c r="O8" s="781"/>
      <c r="P8" s="781"/>
      <c r="Q8" s="781"/>
      <c r="R8" s="781"/>
      <c r="S8" s="781"/>
      <c r="T8" s="781"/>
      <c r="U8" s="156"/>
    </row>
    <row r="9" spans="1:26" ht="21" customHeight="1" x14ac:dyDescent="0.25">
      <c r="A9" s="1090" t="s">
        <v>255</v>
      </c>
      <c r="B9" s="1090"/>
      <c r="C9" s="1090"/>
      <c r="D9" s="1090"/>
      <c r="E9" s="1090"/>
      <c r="F9" s="1090"/>
      <c r="G9" s="1090"/>
      <c r="H9" s="1090"/>
      <c r="I9" s="1090"/>
      <c r="J9" s="1090"/>
      <c r="K9" s="1090"/>
      <c r="L9" s="1090"/>
      <c r="M9" s="1090"/>
      <c r="N9" s="1090"/>
      <c r="O9" s="1090"/>
      <c r="P9" s="1090"/>
      <c r="Q9" s="1090"/>
      <c r="R9" s="1090"/>
      <c r="S9" s="1090"/>
      <c r="T9" s="1090"/>
    </row>
    <row r="10" spans="1:26" s="12" customFormat="1" ht="28.9" customHeight="1" x14ac:dyDescent="0.2">
      <c r="A10" s="943" t="s">
        <v>156</v>
      </c>
      <c r="B10" s="943" t="s">
        <v>282</v>
      </c>
      <c r="C10" s="943" t="s">
        <v>157</v>
      </c>
      <c r="D10" s="943" t="s">
        <v>158</v>
      </c>
      <c r="E10" s="968" t="s">
        <v>337</v>
      </c>
      <c r="F10" s="969"/>
      <c r="G10" s="968" t="s">
        <v>277</v>
      </c>
      <c r="H10" s="969"/>
      <c r="I10" s="968" t="s">
        <v>159</v>
      </c>
      <c r="J10" s="969"/>
      <c r="K10" s="975" t="s">
        <v>749</v>
      </c>
      <c r="L10" s="948"/>
      <c r="M10" s="948"/>
      <c r="N10" s="948"/>
      <c r="O10" s="949"/>
      <c r="P10" s="943" t="s">
        <v>250</v>
      </c>
      <c r="Q10" s="968" t="s">
        <v>750</v>
      </c>
      <c r="R10" s="969"/>
      <c r="S10" s="968" t="s">
        <v>751</v>
      </c>
      <c r="T10" s="969"/>
      <c r="U10" s="968" t="s">
        <v>751</v>
      </c>
      <c r="V10" s="973"/>
      <c r="W10" s="973"/>
      <c r="X10" s="973"/>
      <c r="Y10" s="973"/>
      <c r="Z10" s="969"/>
    </row>
    <row r="11" spans="1:26" s="12" customFormat="1" ht="14.45" customHeight="1" x14ac:dyDescent="0.2">
      <c r="A11" s="944"/>
      <c r="B11" s="944"/>
      <c r="C11" s="944"/>
      <c r="D11" s="944"/>
      <c r="E11" s="939"/>
      <c r="F11" s="940"/>
      <c r="G11" s="939"/>
      <c r="H11" s="940"/>
      <c r="I11" s="939"/>
      <c r="J11" s="940"/>
      <c r="K11" s="975" t="s">
        <v>160</v>
      </c>
      <c r="L11" s="948"/>
      <c r="M11" s="949"/>
      <c r="N11" s="968" t="s">
        <v>626</v>
      </c>
      <c r="O11" s="969"/>
      <c r="P11" s="944"/>
      <c r="Q11" s="939"/>
      <c r="R11" s="940"/>
      <c r="S11" s="939"/>
      <c r="T11" s="940"/>
      <c r="U11" s="941"/>
      <c r="V11" s="974"/>
      <c r="W11" s="974"/>
      <c r="X11" s="974"/>
      <c r="Y11" s="974"/>
      <c r="Z11" s="942"/>
    </row>
    <row r="12" spans="1:26" s="12" customFormat="1" ht="20.25" customHeight="1" x14ac:dyDescent="0.2">
      <c r="A12" s="944"/>
      <c r="B12" s="944"/>
      <c r="C12" s="944"/>
      <c r="D12" s="944"/>
      <c r="E12" s="941"/>
      <c r="F12" s="942"/>
      <c r="G12" s="941"/>
      <c r="H12" s="942"/>
      <c r="I12" s="941"/>
      <c r="J12" s="942"/>
      <c r="K12" s="950" t="s">
        <v>161</v>
      </c>
      <c r="L12" s="975" t="s">
        <v>247</v>
      </c>
      <c r="M12" s="949"/>
      <c r="N12" s="941"/>
      <c r="O12" s="942"/>
      <c r="P12" s="946"/>
      <c r="Q12" s="941"/>
      <c r="R12" s="942"/>
      <c r="S12" s="941"/>
      <c r="T12" s="942"/>
      <c r="U12" s="975" t="s">
        <v>584</v>
      </c>
      <c r="V12" s="949"/>
      <c r="W12" s="975" t="s">
        <v>585</v>
      </c>
      <c r="X12" s="949"/>
      <c r="Y12" s="975" t="s">
        <v>586</v>
      </c>
      <c r="Z12" s="949"/>
    </row>
    <row r="13" spans="1:26" s="12" customFormat="1" ht="21" x14ac:dyDescent="0.2">
      <c r="A13" s="945"/>
      <c r="B13" s="946"/>
      <c r="C13" s="945"/>
      <c r="D13" s="945"/>
      <c r="E13" s="154" t="s">
        <v>161</v>
      </c>
      <c r="F13" s="125" t="s">
        <v>162</v>
      </c>
      <c r="G13" s="15" t="s">
        <v>161</v>
      </c>
      <c r="H13" s="16" t="s">
        <v>162</v>
      </c>
      <c r="I13" s="154" t="s">
        <v>161</v>
      </c>
      <c r="J13" s="125" t="s">
        <v>162</v>
      </c>
      <c r="K13" s="1119"/>
      <c r="L13" s="154" t="s">
        <v>161</v>
      </c>
      <c r="M13" s="125" t="s">
        <v>162</v>
      </c>
      <c r="N13" s="154" t="s">
        <v>161</v>
      </c>
      <c r="O13" s="125" t="s">
        <v>162</v>
      </c>
      <c r="P13" s="16" t="s">
        <v>162</v>
      </c>
      <c r="Q13" s="15" t="s">
        <v>161</v>
      </c>
      <c r="R13" s="16" t="s">
        <v>162</v>
      </c>
      <c r="S13" s="77" t="s">
        <v>161</v>
      </c>
      <c r="T13" s="78" t="s">
        <v>162</v>
      </c>
      <c r="U13" s="218" t="s">
        <v>161</v>
      </c>
      <c r="V13" s="209" t="s">
        <v>162</v>
      </c>
      <c r="W13" s="218" t="s">
        <v>161</v>
      </c>
      <c r="X13" s="209" t="s">
        <v>162</v>
      </c>
      <c r="Y13" s="218" t="s">
        <v>161</v>
      </c>
      <c r="Z13" s="209" t="s">
        <v>162</v>
      </c>
    </row>
    <row r="14" spans="1:26" s="23" customFormat="1" ht="33.6" customHeight="1" x14ac:dyDescent="0.25">
      <c r="A14" s="57" t="s">
        <v>109</v>
      </c>
      <c r="B14" s="57" t="s">
        <v>280</v>
      </c>
      <c r="C14" s="1120">
        <v>78729496.424594194</v>
      </c>
      <c r="D14" s="120" t="s">
        <v>276</v>
      </c>
      <c r="E14" s="113">
        <f>'GAL ANGLONA ROMANGIA'!F13+'GAL BARBAGIA_GAL BARIGADU'!F19+'GAL BARBAGIA_GAL BARIGADU'!F35+'GAL CAMPIDANO_GAL BMG'!F20+'GAL CAMPIDANO_GAL BMG'!F52+'GAL GALLURA_GAL LINAS'!F24+'GAL GALLURA_GAL LINAS'!F47+'GAL LOGUDORO_GAL MARGHINE'!F17+'GAL LOGUDORO_GAL MARGHINE'!F34+'GAL MARMILLA_GAL NUORESE B.'!F23+'GAL MARMILLA_GAL NUORESE B.'!F40+'GAL OGLIASTRA_GAL SARCIDANO'!F24+'GAL OGLIASTRA_GAL SARCIDANO'!F41+'GAL SGT_GAL SINIS'!F19+'GAL SGT_GAL SINIS'!F40+'GAL SULCIS_GAL TERRAS DE OLIA'!F18+'GAL SULCIS_GAL TERRAS DE OLIA'!F43</f>
        <v>1789</v>
      </c>
      <c r="F14" s="113">
        <f>'GAL ANGLONA ROMANGIA'!G13+'GAL BARBAGIA_GAL BARIGADU'!G19+'GAL BARBAGIA_GAL BARIGADU'!G35+'GAL CAMPIDANO_GAL BMG'!G20+'GAL CAMPIDANO_GAL BMG'!G52+'GAL GALLURA_GAL LINAS'!G24+'GAL GALLURA_GAL LINAS'!G47+'GAL LOGUDORO_GAL MARGHINE'!G17+'GAL LOGUDORO_GAL MARGHINE'!G34+'GAL MARMILLA_GAL NUORESE B.'!G23+'GAL MARMILLA_GAL NUORESE B.'!G40+'GAL OGLIASTRA_GAL SARCIDANO'!G24+'GAL OGLIASTRA_GAL SARCIDANO'!G41+'GAL SGT_GAL SINIS'!G19+'GAL SGT_GAL SINIS'!G40+'GAL SULCIS_GAL TERRAS DE OLIA'!G18+'GAL SULCIS_GAL TERRAS DE OLIA'!G43</f>
        <v>105318393.37000002</v>
      </c>
      <c r="G14" s="113">
        <f>'GAL ANGLONA ROMANGIA'!H13+'GAL BARBAGIA_GAL BARIGADU'!H19+'GAL BARBAGIA_GAL BARIGADU'!H35+'GAL CAMPIDANO_GAL BMG'!H20+'GAL CAMPIDANO_GAL BMG'!H52+'GAL GALLURA_GAL LINAS'!H24+'GAL GALLURA_GAL LINAS'!H47+'GAL LOGUDORO_GAL MARGHINE'!H17+'GAL LOGUDORO_GAL MARGHINE'!H34+'GAL MARMILLA_GAL NUORESE B.'!H23+'GAL MARMILLA_GAL NUORESE B.'!H40+'GAL OGLIASTRA_GAL SARCIDANO'!H24+'GAL OGLIASTRA_GAL SARCIDANO'!H41+'GAL SGT_GAL SINIS'!H19+'GAL SGT_GAL SINIS'!H40+'GAL SULCIS_GAL TERRAS DE OLIA'!H18+'GAL SULCIS_GAL TERRAS DE OLIA'!H43</f>
        <v>55</v>
      </c>
      <c r="H14" s="113">
        <f>'GAL ANGLONA ROMANGIA'!I13+'GAL BARBAGIA_GAL BARIGADU'!I19+'GAL BARBAGIA_GAL BARIGADU'!I35+'GAL CAMPIDANO_GAL BMG'!I20+'GAL CAMPIDANO_GAL BMG'!I52+'GAL GALLURA_GAL LINAS'!I24+'GAL GALLURA_GAL LINAS'!I47+'GAL LOGUDORO_GAL MARGHINE'!I17+'GAL LOGUDORO_GAL MARGHINE'!I34+'GAL MARMILLA_GAL NUORESE B.'!I23+'GAL MARMILLA_GAL NUORESE B.'!I40+'GAL OGLIASTRA_GAL SARCIDANO'!I24+'GAL OGLIASTRA_GAL SARCIDANO'!I41+'GAL SGT_GAL SINIS'!I19+'GAL SGT_GAL SINIS'!I40+'GAL SULCIS_GAL TERRAS DE OLIA'!I18+'GAL SULCIS_GAL TERRAS DE OLIA'!I43</f>
        <v>2439333.89</v>
      </c>
      <c r="I14" s="113">
        <f>'GAL ANGLONA ROMANGIA'!J13+'GAL BARBAGIA_GAL BARIGADU'!J19+'GAL BARBAGIA_GAL BARIGADU'!J35+'GAL CAMPIDANO_GAL BMG'!J20+'GAL CAMPIDANO_GAL BMG'!J52+'GAL GALLURA_GAL LINAS'!J24+'GAL GALLURA_GAL LINAS'!J47+'GAL LOGUDORO_GAL MARGHINE'!J17+'GAL LOGUDORO_GAL MARGHINE'!J34+'GAL MARMILLA_GAL NUORESE B.'!J23+'GAL MARMILLA_GAL NUORESE B.'!J40+'GAL OGLIASTRA_GAL SARCIDANO'!J24+'GAL OGLIASTRA_GAL SARCIDANO'!J41+'GAL SGT_GAL SINIS'!J19+'GAL SGT_GAL SINIS'!J40+'GAL SULCIS_GAL TERRAS DE OLIA'!J18+'GAL SULCIS_GAL TERRAS DE OLIA'!J43</f>
        <v>1293</v>
      </c>
      <c r="J14" s="113">
        <f>'GAL ANGLONA ROMANGIA'!K13+'GAL BARBAGIA_GAL BARIGADU'!K19+'GAL BARBAGIA_GAL BARIGADU'!K35+'GAL CAMPIDANO_GAL BMG'!K20+'GAL CAMPIDANO_GAL BMG'!K52+'GAL GALLURA_GAL LINAS'!K24+'GAL GALLURA_GAL LINAS'!K47+'GAL LOGUDORO_GAL MARGHINE'!K17+'GAL LOGUDORO_GAL MARGHINE'!K34+'GAL MARMILLA_GAL NUORESE B.'!K23+'GAL MARMILLA_GAL NUORESE B.'!K40+'GAL OGLIASTRA_GAL SARCIDANO'!K24+'GAL OGLIASTRA_GAL SARCIDANO'!K41+'GAL SGT_GAL SINIS'!K19+'GAL SGT_GAL SINIS'!K40+'GAL SULCIS_GAL TERRAS DE OLIA'!K18+'GAL SULCIS_GAL TERRAS DE OLIA'!K43</f>
        <v>80398492.140000001</v>
      </c>
      <c r="K14" s="113">
        <f>'GAL ANGLONA ROMANGIA'!L13+'GAL BARBAGIA_GAL BARIGADU'!L19+'GAL BARBAGIA_GAL BARIGADU'!L35+'GAL CAMPIDANO_GAL BMG'!L20+'GAL CAMPIDANO_GAL BMG'!L52+'GAL GALLURA_GAL LINAS'!L24+'GAL GALLURA_GAL LINAS'!L47+'GAL LOGUDORO_GAL MARGHINE'!L17+'GAL LOGUDORO_GAL MARGHINE'!L34+'GAL MARMILLA_GAL NUORESE B.'!L23+'GAL MARMILLA_GAL NUORESE B.'!L40+'GAL OGLIASTRA_GAL SARCIDANO'!L24+'GAL OGLIASTRA_GAL SARCIDANO'!L41+'GAL SGT_GAL SINIS'!L19+'GAL SGT_GAL SINIS'!L40+'GAL SULCIS_GAL TERRAS DE OLIA'!L18+'GAL SULCIS_GAL TERRAS DE OLIA'!L43</f>
        <v>1231</v>
      </c>
      <c r="L14" s="113">
        <f>'GAL ANGLONA ROMANGIA'!M13+'GAL BARBAGIA_GAL BARIGADU'!M19+'GAL BARBAGIA_GAL BARIGADU'!M35+'GAL CAMPIDANO_GAL BMG'!M20+'GAL CAMPIDANO_GAL BMG'!M52+'GAL GALLURA_GAL LINAS'!M24+'GAL GALLURA_GAL LINAS'!M47+'GAL LOGUDORO_GAL MARGHINE'!M17+'GAL LOGUDORO_GAL MARGHINE'!M34+'GAL MARMILLA_GAL NUORESE B.'!M23+'GAL MARMILLA_GAL NUORESE B.'!M40+'GAL OGLIASTRA_GAL SARCIDANO'!M24+'GAL OGLIASTRA_GAL SARCIDANO'!M41+'GAL SGT_GAL SINIS'!M19+'GAL SGT_GAL SINIS'!M40+'GAL SULCIS_GAL TERRAS DE OLIA'!M18+'GAL SULCIS_GAL TERRAS DE OLIA'!M43</f>
        <v>1115</v>
      </c>
      <c r="M14" s="113">
        <f>'GAL ANGLONA ROMANGIA'!N13+'GAL BARBAGIA_GAL BARIGADU'!N19+'GAL BARBAGIA_GAL BARIGADU'!N35+'GAL CAMPIDANO_GAL BMG'!N20+'GAL CAMPIDANO_GAL BMG'!N52+'GAL GALLURA_GAL LINAS'!N24+'GAL GALLURA_GAL LINAS'!N47+'GAL LOGUDORO_GAL MARGHINE'!N17+'GAL LOGUDORO_GAL MARGHINE'!N34+'GAL MARMILLA_GAL NUORESE B.'!N23+'GAL MARMILLA_GAL NUORESE B.'!N40+'GAL OGLIASTRA_GAL SARCIDANO'!N24+'GAL OGLIASTRA_GAL SARCIDANO'!N41+'GAL SGT_GAL SINIS'!N19+'GAL SGT_GAL SINIS'!N40+'GAL SULCIS_GAL TERRAS DE OLIA'!N18+'GAL SULCIS_GAL TERRAS DE OLIA'!N43</f>
        <v>66299629.069999993</v>
      </c>
      <c r="N14" s="113">
        <f>'GAL ANGLONA ROMANGIA'!O13+'GAL BARBAGIA_GAL BARIGADU'!O19+'GAL BARBAGIA_GAL BARIGADU'!O35+'GAL CAMPIDANO_GAL BMG'!O20+'GAL CAMPIDANO_GAL BMG'!O52+'GAL GALLURA_GAL LINAS'!O24+'GAL GALLURA_GAL LINAS'!O47+'GAL LOGUDORO_GAL MARGHINE'!O17+'GAL LOGUDORO_GAL MARGHINE'!O34+'GAL MARMILLA_GAL NUORESE B.'!O23+'GAL MARMILLA_GAL NUORESE B.'!O40+'GAL OGLIASTRA_GAL SARCIDANO'!O24+'GAL OGLIASTRA_GAL SARCIDANO'!O41+'GAL SGT_GAL SINIS'!O19+'GAL SGT_GAL SINIS'!O40+'GAL SULCIS_GAL TERRAS DE OLIA'!O18+'GAL SULCIS_GAL TERRAS DE OLIA'!O43</f>
        <v>341</v>
      </c>
      <c r="O14" s="113">
        <f>'GAL ANGLONA ROMANGIA'!P13+'GAL BARBAGIA_GAL BARIGADU'!P19+'GAL BARBAGIA_GAL BARIGADU'!P35+'GAL CAMPIDANO_GAL BMG'!P20+'GAL CAMPIDANO_GAL BMG'!P52+'GAL GALLURA_GAL LINAS'!P24+'GAL GALLURA_GAL LINAS'!P47+'GAL LOGUDORO_GAL MARGHINE'!P17+'GAL LOGUDORO_GAL MARGHINE'!P34+'GAL MARMILLA_GAL NUORESE B.'!P23+'GAL MARMILLA_GAL NUORESE B.'!P40+'GAL OGLIASTRA_GAL SARCIDANO'!P24+'GAL OGLIASTRA_GAL SARCIDANO'!P41+'GAL SGT_GAL SINIS'!P19+'GAL SGT_GAL SINIS'!P40+'GAL SULCIS_GAL TERRAS DE OLIA'!P18+'GAL SULCIS_GAL TERRAS DE OLIA'!P43</f>
        <v>14664511.510000002</v>
      </c>
      <c r="P14" s="113">
        <f>'GAL ANGLONA ROMANGIA'!Q13+'GAL BARBAGIA_GAL BARIGADU'!Q19+'GAL BARBAGIA_GAL BARIGADU'!Q35+'GAL CAMPIDANO_GAL BMG'!Q20+'GAL CAMPIDANO_GAL BMG'!Q52+'GAL GALLURA_GAL LINAS'!Q24+'GAL GALLURA_GAL LINAS'!Q47+'GAL LOGUDORO_GAL MARGHINE'!Q17+'GAL LOGUDORO_GAL MARGHINE'!Q34+'GAL MARMILLA_GAL NUORESE B.'!Q23+'GAL MARMILLA_GAL NUORESE B.'!Q40+'GAL OGLIASTRA_GAL SARCIDANO'!Q24+'GAL OGLIASTRA_GAL SARCIDANO'!Q41+'GAL SGT_GAL SINIS'!Q19+'GAL SGT_GAL SINIS'!Q40+'GAL SULCIS_GAL TERRAS DE OLIA'!Q18+'GAL SULCIS_GAL TERRAS DE OLIA'!Q43</f>
        <v>14098863.07</v>
      </c>
      <c r="Q14" s="113">
        <f>'GAL ANGLONA ROMANGIA'!R13+'GAL BARBAGIA_GAL BARIGADU'!R19+'GAL BARBAGIA_GAL BARIGADU'!R35+'GAL CAMPIDANO_GAL BMG'!R20+'GAL CAMPIDANO_GAL BMG'!R52+'GAL GALLURA_GAL LINAS'!R24+'GAL GALLURA_GAL LINAS'!R47+'GAL LOGUDORO_GAL MARGHINE'!R17+'GAL LOGUDORO_GAL MARGHINE'!R34+'GAL MARMILLA_GAL NUORESE B.'!R23+'GAL MARMILLA_GAL NUORESE B.'!R40+'GAL OGLIASTRA_GAL SARCIDANO'!R24+'GAL OGLIASTRA_GAL SARCIDANO'!R41+'GAL SGT_GAL SINIS'!R19+'GAL SGT_GAL SINIS'!R40+'GAL SULCIS_GAL TERRAS DE OLIA'!R18+'GAL SULCIS_GAL TERRAS DE OLIA'!R43</f>
        <v>1254</v>
      </c>
      <c r="R14" s="113">
        <f>'GAL ANGLONA ROMANGIA'!S13+'GAL BARBAGIA_GAL BARIGADU'!S19+'GAL BARBAGIA_GAL BARIGADU'!S35+'GAL CAMPIDANO_GAL BMG'!S20+'GAL CAMPIDANO_GAL BMG'!S52+'GAL GALLURA_GAL LINAS'!S24+'GAL GALLURA_GAL LINAS'!S47+'GAL LOGUDORO_GAL MARGHINE'!S17+'GAL LOGUDORO_GAL MARGHINE'!S34+'GAL MARMILLA_GAL NUORESE B.'!S23+'GAL MARMILLA_GAL NUORESE B.'!S40+'GAL OGLIASTRA_GAL SARCIDANO'!S24+'GAL OGLIASTRA_GAL SARCIDANO'!S41+'GAL SGT_GAL SINIS'!S19+'GAL SGT_GAL SINIS'!S40+'GAL SULCIS_GAL TERRAS DE OLIA'!S18+'GAL SULCIS_GAL TERRAS DE OLIA'!S43</f>
        <v>46839288.430000007</v>
      </c>
      <c r="S14" s="113">
        <f>'GAL ANGLONA ROMANGIA'!T13+'GAL BARBAGIA_GAL BARIGADU'!T19+'GAL BARBAGIA_GAL BARIGADU'!T35+'GAL CAMPIDANO_GAL BMG'!T20+'GAL CAMPIDANO_GAL BMG'!T52+'GAL GALLURA_GAL LINAS'!T24+'GAL GALLURA_GAL LINAS'!T47+'GAL LOGUDORO_GAL MARGHINE'!T17+'GAL LOGUDORO_GAL MARGHINE'!T34+'GAL MARMILLA_GAL NUORESE B.'!T23+'GAL MARMILLA_GAL NUORESE B.'!T40+'GAL OGLIASTRA_GAL SARCIDANO'!T24+'GAL OGLIASTRA_GAL SARCIDANO'!T41+'GAL SGT_GAL SINIS'!T19+'GAL SGT_GAL SINIS'!T40+'GAL SULCIS_GAL TERRAS DE OLIA'!T18+'GAL SULCIS_GAL TERRAS DE OLIA'!T43</f>
        <v>857</v>
      </c>
      <c r="T14" s="113">
        <f>'GAL ANGLONA ROMANGIA'!U13+'GAL BARBAGIA_GAL BARIGADU'!U19+'GAL BARBAGIA_GAL BARIGADU'!U35+'GAL CAMPIDANO_GAL BMG'!U20+'GAL CAMPIDANO_GAL BMG'!U52+'GAL GALLURA_GAL LINAS'!U24+'GAL GALLURA_GAL LINAS'!U47+'GAL LOGUDORO_GAL MARGHINE'!U17+'GAL LOGUDORO_GAL MARGHINE'!U34+'GAL MARMILLA_GAL NUORESE B.'!U23+'GAL MARMILLA_GAL NUORESE B.'!U40+'GAL OGLIASTRA_GAL SARCIDANO'!U24+'GAL OGLIASTRA_GAL SARCIDANO'!U41+'GAL SGT_GAL SINIS'!U19+'GAL SGT_GAL SINIS'!U40+'GAL SULCIS_GAL TERRAS DE OLIA'!U18+'GAL SULCIS_GAL TERRAS DE OLIA'!U43-333799.51</f>
        <v>25712903.75</v>
      </c>
      <c r="U14" s="22">
        <v>82</v>
      </c>
      <c r="V14" s="22">
        <f>2287339.74-333799.51</f>
        <v>1953540.2300000002</v>
      </c>
      <c r="W14" s="22">
        <v>119</v>
      </c>
      <c r="X14" s="22">
        <v>4083312.0199999996</v>
      </c>
      <c r="Y14" s="22">
        <v>416</v>
      </c>
      <c r="Z14" s="22">
        <v>19676051.499999996</v>
      </c>
    </row>
    <row r="15" spans="1:26" s="23" customFormat="1" x14ac:dyDescent="0.25">
      <c r="A15" s="3" t="s">
        <v>230</v>
      </c>
      <c r="B15" s="57">
        <v>9381</v>
      </c>
      <c r="C15" s="1120"/>
      <c r="D15" s="106">
        <v>45473</v>
      </c>
      <c r="E15" s="88">
        <v>59</v>
      </c>
      <c r="F15" s="181">
        <v>9965453.459999999</v>
      </c>
      <c r="G15" s="182">
        <v>8</v>
      </c>
      <c r="H15" s="182">
        <v>1169906.32</v>
      </c>
      <c r="I15" s="88">
        <v>49</v>
      </c>
      <c r="J15" s="88">
        <v>8115151.9699999988</v>
      </c>
      <c r="K15" s="113">
        <v>49</v>
      </c>
      <c r="L15" s="113">
        <v>49</v>
      </c>
      <c r="M15" s="113">
        <v>8115151.9699999988</v>
      </c>
      <c r="N15" s="221">
        <v>2</v>
      </c>
      <c r="O15" s="221">
        <v>564522.82999999996</v>
      </c>
      <c r="P15" s="18">
        <f>J15-M15</f>
        <v>0</v>
      </c>
      <c r="Q15" s="113">
        <v>39</v>
      </c>
      <c r="R15" s="113">
        <v>2847780.4</v>
      </c>
      <c r="S15" s="22">
        <v>21</v>
      </c>
      <c r="T15" s="22">
        <v>1639639.01</v>
      </c>
      <c r="U15" s="22">
        <v>0</v>
      </c>
      <c r="V15" s="22">
        <v>0</v>
      </c>
      <c r="W15" s="22">
        <v>14</v>
      </c>
      <c r="X15" s="22">
        <v>1254675.1500000001</v>
      </c>
      <c r="Y15" s="22">
        <v>4</v>
      </c>
      <c r="Z15" s="22">
        <v>384963.86000000004</v>
      </c>
    </row>
    <row r="16" spans="1:26" x14ac:dyDescent="0.25">
      <c r="A16" s="19" t="s">
        <v>231</v>
      </c>
      <c r="B16" s="59"/>
      <c r="C16" s="20">
        <f>C14</f>
        <v>78729496.424594194</v>
      </c>
      <c r="D16" s="20"/>
      <c r="E16" s="20">
        <f t="shared" ref="E16:L16" si="1">SUM(E14:E15)</f>
        <v>1848</v>
      </c>
      <c r="F16" s="20">
        <f t="shared" si="1"/>
        <v>115283846.83000001</v>
      </c>
      <c r="G16" s="20">
        <f t="shared" si="1"/>
        <v>63</v>
      </c>
      <c r="H16" s="20">
        <f t="shared" si="1"/>
        <v>3609240.21</v>
      </c>
      <c r="I16" s="20">
        <f t="shared" si="1"/>
        <v>1342</v>
      </c>
      <c r="J16" s="20">
        <f t="shared" si="1"/>
        <v>88513644.109999999</v>
      </c>
      <c r="K16" s="20">
        <f t="shared" si="1"/>
        <v>1280</v>
      </c>
      <c r="L16" s="20">
        <f t="shared" si="1"/>
        <v>1164</v>
      </c>
      <c r="M16" s="20">
        <f t="shared" ref="M16:Z16" si="2">SUM(M14:M15)</f>
        <v>74414781.039999992</v>
      </c>
      <c r="N16" s="20">
        <f t="shared" si="2"/>
        <v>343</v>
      </c>
      <c r="O16" s="20">
        <f t="shared" si="2"/>
        <v>15229034.340000002</v>
      </c>
      <c r="P16" s="20">
        <f t="shared" si="2"/>
        <v>14098863.07</v>
      </c>
      <c r="Q16" s="20">
        <f t="shared" si="2"/>
        <v>1293</v>
      </c>
      <c r="R16" s="20">
        <f t="shared" si="2"/>
        <v>49687068.830000006</v>
      </c>
      <c r="S16" s="20">
        <f t="shared" si="2"/>
        <v>878</v>
      </c>
      <c r="T16" s="20">
        <f>SUM(T14:T15)</f>
        <v>27352542.760000002</v>
      </c>
      <c r="U16" s="20">
        <f t="shared" si="2"/>
        <v>82</v>
      </c>
      <c r="V16" s="20">
        <f>SUM(V14:V15)</f>
        <v>1953540.2300000002</v>
      </c>
      <c r="W16" s="20">
        <f t="shared" si="2"/>
        <v>133</v>
      </c>
      <c r="X16" s="20">
        <f>SUM(X14:X15)</f>
        <v>5337987.17</v>
      </c>
      <c r="Y16" s="20">
        <f t="shared" si="2"/>
        <v>420</v>
      </c>
      <c r="Z16" s="20">
        <f t="shared" si="2"/>
        <v>20061015.359999996</v>
      </c>
    </row>
    <row r="17" spans="1:27" s="23" customFormat="1" ht="15.75" customHeight="1" x14ac:dyDescent="0.25">
      <c r="A17" s="781" t="s">
        <v>542</v>
      </c>
      <c r="B17" s="781"/>
      <c r="C17" s="781"/>
      <c r="D17" s="781"/>
      <c r="E17" s="781"/>
      <c r="F17" s="781"/>
      <c r="G17" s="781"/>
      <c r="H17" s="781"/>
      <c r="I17" s="781"/>
      <c r="J17" s="781"/>
      <c r="K17" s="781"/>
      <c r="L17" s="781"/>
      <c r="M17" s="781"/>
      <c r="N17" s="781"/>
      <c r="O17" s="781"/>
      <c r="P17" s="781"/>
      <c r="Q17" s="781"/>
      <c r="R17" s="781"/>
      <c r="S17" s="781"/>
      <c r="T17" s="781"/>
      <c r="U17" s="156"/>
    </row>
    <row r="18" spans="1:27" ht="15.75" customHeight="1" x14ac:dyDescent="0.25">
      <c r="A18" s="210" t="s">
        <v>390</v>
      </c>
      <c r="B18" s="192"/>
      <c r="C18" s="192"/>
      <c r="D18" s="192"/>
      <c r="E18" s="192"/>
      <c r="F18" s="192"/>
      <c r="G18" s="192"/>
      <c r="H18" s="192"/>
      <c r="I18" s="192"/>
      <c r="J18" s="192"/>
      <c r="K18" s="192"/>
      <c r="L18" s="192"/>
      <c r="M18" s="192"/>
      <c r="N18" s="192"/>
      <c r="O18" s="192"/>
      <c r="P18" s="192"/>
      <c r="Q18" s="192"/>
      <c r="R18" s="192"/>
      <c r="S18" s="192"/>
      <c r="T18" s="192"/>
      <c r="X18" s="50"/>
      <c r="Z18" s="50"/>
    </row>
    <row r="19" spans="1:27" ht="16.149999999999999" customHeight="1" x14ac:dyDescent="0.25">
      <c r="A19" s="935" t="s">
        <v>744</v>
      </c>
      <c r="B19" s="935"/>
      <c r="C19" s="935"/>
      <c r="D19" s="935"/>
      <c r="E19" s="935"/>
      <c r="F19" s="935"/>
      <c r="G19" s="935"/>
      <c r="H19" s="935"/>
      <c r="I19" s="935"/>
      <c r="J19" s="935"/>
      <c r="K19" s="935"/>
      <c r="L19" s="935"/>
      <c r="M19" s="935"/>
      <c r="N19" s="935"/>
      <c r="O19" s="935"/>
      <c r="P19" s="935"/>
      <c r="Q19" s="935"/>
      <c r="R19" s="935"/>
      <c r="S19" s="935"/>
      <c r="T19" s="935"/>
      <c r="U19" s="935"/>
      <c r="V19" s="935"/>
      <c r="W19" s="935"/>
      <c r="X19" s="935"/>
      <c r="Y19" s="935"/>
      <c r="Z19" s="935"/>
      <c r="AA19" s="935"/>
    </row>
    <row r="20" spans="1:27" ht="18" customHeight="1" x14ac:dyDescent="0.25">
      <c r="A20" s="14" t="s">
        <v>256</v>
      </c>
      <c r="B20" s="14"/>
    </row>
    <row r="21" spans="1:27" s="12" customFormat="1" ht="28.9" customHeight="1" x14ac:dyDescent="0.2">
      <c r="A21" s="943" t="s">
        <v>156</v>
      </c>
      <c r="B21" s="943" t="s">
        <v>282</v>
      </c>
      <c r="C21" s="943" t="s">
        <v>157</v>
      </c>
      <c r="D21" s="943" t="s">
        <v>158</v>
      </c>
      <c r="E21" s="968" t="s">
        <v>337</v>
      </c>
      <c r="F21" s="969"/>
      <c r="G21" s="968" t="s">
        <v>277</v>
      </c>
      <c r="H21" s="969"/>
      <c r="I21" s="968" t="s">
        <v>159</v>
      </c>
      <c r="J21" s="969"/>
      <c r="K21" s="975" t="s">
        <v>752</v>
      </c>
      <c r="L21" s="948"/>
      <c r="M21" s="948"/>
      <c r="N21" s="948"/>
      <c r="O21" s="949"/>
      <c r="P21" s="943" t="s">
        <v>250</v>
      </c>
      <c r="Q21" s="968" t="s">
        <v>750</v>
      </c>
      <c r="R21" s="969"/>
      <c r="S21" s="968" t="s">
        <v>751</v>
      </c>
      <c r="T21" s="969"/>
      <c r="U21" s="968" t="s">
        <v>751</v>
      </c>
      <c r="V21" s="973"/>
      <c r="W21" s="973"/>
      <c r="X21" s="973"/>
      <c r="Y21" s="973"/>
      <c r="Z21" s="969"/>
    </row>
    <row r="22" spans="1:27" s="12" customFormat="1" ht="14.45" customHeight="1" x14ac:dyDescent="0.2">
      <c r="A22" s="944"/>
      <c r="B22" s="944"/>
      <c r="C22" s="944"/>
      <c r="D22" s="944"/>
      <c r="E22" s="939"/>
      <c r="F22" s="940"/>
      <c r="G22" s="939"/>
      <c r="H22" s="940"/>
      <c r="I22" s="939"/>
      <c r="J22" s="940"/>
      <c r="K22" s="975" t="s">
        <v>160</v>
      </c>
      <c r="L22" s="948"/>
      <c r="M22" s="949"/>
      <c r="N22" s="968" t="s">
        <v>626</v>
      </c>
      <c r="O22" s="969"/>
      <c r="P22" s="944"/>
      <c r="Q22" s="939"/>
      <c r="R22" s="940"/>
      <c r="S22" s="939"/>
      <c r="T22" s="940"/>
      <c r="U22" s="941"/>
      <c r="V22" s="974"/>
      <c r="W22" s="974"/>
      <c r="X22" s="974"/>
      <c r="Y22" s="974"/>
      <c r="Z22" s="942"/>
    </row>
    <row r="23" spans="1:27" s="12" customFormat="1" ht="20.25" customHeight="1" x14ac:dyDescent="0.2">
      <c r="A23" s="944"/>
      <c r="B23" s="944"/>
      <c r="C23" s="944"/>
      <c r="D23" s="944"/>
      <c r="E23" s="941"/>
      <c r="F23" s="942"/>
      <c r="G23" s="941"/>
      <c r="H23" s="942"/>
      <c r="I23" s="941"/>
      <c r="J23" s="942"/>
      <c r="K23" s="950" t="s">
        <v>161</v>
      </c>
      <c r="L23" s="975" t="s">
        <v>247</v>
      </c>
      <c r="M23" s="949"/>
      <c r="N23" s="941"/>
      <c r="O23" s="942"/>
      <c r="P23" s="946"/>
      <c r="Q23" s="941"/>
      <c r="R23" s="942"/>
      <c r="S23" s="941"/>
      <c r="T23" s="942"/>
      <c r="U23" s="975" t="s">
        <v>584</v>
      </c>
      <c r="V23" s="949"/>
      <c r="W23" s="975" t="s">
        <v>585</v>
      </c>
      <c r="X23" s="949"/>
      <c r="Y23" s="975" t="s">
        <v>586</v>
      </c>
      <c r="Z23" s="949"/>
    </row>
    <row r="24" spans="1:27" s="12" customFormat="1" ht="21" x14ac:dyDescent="0.2">
      <c r="A24" s="945"/>
      <c r="B24" s="946"/>
      <c r="C24" s="945"/>
      <c r="D24" s="945"/>
      <c r="E24" s="154" t="s">
        <v>161</v>
      </c>
      <c r="F24" s="125" t="s">
        <v>162</v>
      </c>
      <c r="G24" s="15" t="s">
        <v>161</v>
      </c>
      <c r="H24" s="16" t="s">
        <v>162</v>
      </c>
      <c r="I24" s="154" t="s">
        <v>161</v>
      </c>
      <c r="J24" s="125" t="s">
        <v>162</v>
      </c>
      <c r="K24" s="1119"/>
      <c r="L24" s="154" t="s">
        <v>161</v>
      </c>
      <c r="M24" s="125" t="s">
        <v>162</v>
      </c>
      <c r="N24" s="154" t="s">
        <v>161</v>
      </c>
      <c r="O24" s="125" t="s">
        <v>162</v>
      </c>
      <c r="P24" s="16" t="s">
        <v>162</v>
      </c>
      <c r="Q24" s="15" t="s">
        <v>161</v>
      </c>
      <c r="R24" s="16" t="s">
        <v>162</v>
      </c>
      <c r="S24" s="77" t="s">
        <v>161</v>
      </c>
      <c r="T24" s="78" t="s">
        <v>162</v>
      </c>
      <c r="U24" s="218" t="s">
        <v>161</v>
      </c>
      <c r="V24" s="209" t="s">
        <v>162</v>
      </c>
      <c r="W24" s="218" t="s">
        <v>161</v>
      </c>
      <c r="X24" s="209" t="s">
        <v>162</v>
      </c>
      <c r="Y24" s="218" t="s">
        <v>161</v>
      </c>
      <c r="Z24" s="209" t="s">
        <v>162</v>
      </c>
    </row>
    <row r="25" spans="1:27" ht="30.75" customHeight="1" x14ac:dyDescent="0.25">
      <c r="A25" s="42" t="s">
        <v>110</v>
      </c>
      <c r="B25" s="137">
        <v>9086</v>
      </c>
      <c r="C25" s="188">
        <v>2880212</v>
      </c>
      <c r="D25" s="121">
        <v>43251</v>
      </c>
      <c r="E25" s="88">
        <v>34</v>
      </c>
      <c r="F25" s="93">
        <v>2415143.2000000002</v>
      </c>
      <c r="G25" s="93">
        <v>1</v>
      </c>
      <c r="H25" s="93">
        <v>80000</v>
      </c>
      <c r="I25" s="88">
        <v>32</v>
      </c>
      <c r="J25" s="58">
        <v>2244165.7000000002</v>
      </c>
      <c r="K25" s="58">
        <v>32</v>
      </c>
      <c r="L25" s="88">
        <v>32</v>
      </c>
      <c r="M25" s="58">
        <v>2244165.7000000002</v>
      </c>
      <c r="N25" s="58">
        <v>1</v>
      </c>
      <c r="O25" s="58">
        <v>49165.180000000168</v>
      </c>
      <c r="P25" s="223">
        <v>0</v>
      </c>
      <c r="Q25" s="38">
        <v>27</v>
      </c>
      <c r="R25" s="38">
        <v>1146432.4799999997</v>
      </c>
      <c r="S25" s="38">
        <v>18</v>
      </c>
      <c r="T25" s="38">
        <v>810146.87999999977</v>
      </c>
      <c r="U25" s="22">
        <v>0</v>
      </c>
      <c r="V25" s="22">
        <v>0</v>
      </c>
      <c r="W25" s="22">
        <v>6</v>
      </c>
      <c r="X25" s="22">
        <v>185190.9</v>
      </c>
      <c r="Y25" s="22">
        <v>8</v>
      </c>
      <c r="Z25" s="22">
        <v>624955.97999999986</v>
      </c>
    </row>
    <row r="26" spans="1:27" x14ac:dyDescent="0.25">
      <c r="A26" s="19" t="s">
        <v>232</v>
      </c>
      <c r="B26" s="59"/>
      <c r="C26" s="20">
        <f>SUM(C25:C25)</f>
        <v>2880212</v>
      </c>
      <c r="D26" s="20"/>
      <c r="E26" s="20">
        <f t="shared" ref="E26:T26" si="3">SUM(E25:E25)</f>
        <v>34</v>
      </c>
      <c r="F26" s="20">
        <f t="shared" si="3"/>
        <v>2415143.2000000002</v>
      </c>
      <c r="G26" s="20">
        <f t="shared" si="3"/>
        <v>1</v>
      </c>
      <c r="H26" s="20">
        <f t="shared" si="3"/>
        <v>80000</v>
      </c>
      <c r="I26" s="20">
        <f t="shared" si="3"/>
        <v>32</v>
      </c>
      <c r="J26" s="20">
        <f t="shared" si="3"/>
        <v>2244165.7000000002</v>
      </c>
      <c r="K26" s="20">
        <f t="shared" si="3"/>
        <v>32</v>
      </c>
      <c r="L26" s="20">
        <f t="shared" si="3"/>
        <v>32</v>
      </c>
      <c r="M26" s="20">
        <f t="shared" si="3"/>
        <v>2244165.7000000002</v>
      </c>
      <c r="N26" s="20">
        <f t="shared" si="3"/>
        <v>1</v>
      </c>
      <c r="O26" s="20">
        <f t="shared" si="3"/>
        <v>49165.180000000168</v>
      </c>
      <c r="P26" s="20">
        <f t="shared" si="3"/>
        <v>0</v>
      </c>
      <c r="Q26" s="20">
        <f t="shared" si="3"/>
        <v>27</v>
      </c>
      <c r="R26" s="20">
        <f t="shared" si="3"/>
        <v>1146432.4799999997</v>
      </c>
      <c r="S26" s="20">
        <f t="shared" si="3"/>
        <v>18</v>
      </c>
      <c r="T26" s="20">
        <f t="shared" si="3"/>
        <v>810146.87999999977</v>
      </c>
      <c r="U26" s="20">
        <f t="shared" ref="U26:Z26" si="4">SUM(U25:U25)</f>
        <v>0</v>
      </c>
      <c r="V26" s="20">
        <f t="shared" si="4"/>
        <v>0</v>
      </c>
      <c r="W26" s="20">
        <f t="shared" si="4"/>
        <v>6</v>
      </c>
      <c r="X26" s="20">
        <f t="shared" si="4"/>
        <v>185190.9</v>
      </c>
      <c r="Y26" s="20">
        <f t="shared" si="4"/>
        <v>8</v>
      </c>
      <c r="Z26" s="20">
        <f t="shared" si="4"/>
        <v>624955.97999999986</v>
      </c>
    </row>
    <row r="27" spans="1:27" s="23" customFormat="1" ht="13.5" customHeight="1" x14ac:dyDescent="0.25">
      <c r="A27" s="781" t="s">
        <v>542</v>
      </c>
      <c r="B27" s="781"/>
      <c r="C27" s="781"/>
      <c r="D27" s="781"/>
      <c r="E27" s="781"/>
      <c r="F27" s="781"/>
      <c r="G27" s="781"/>
      <c r="H27" s="781"/>
      <c r="I27" s="781"/>
      <c r="J27" s="781"/>
      <c r="K27" s="781"/>
      <c r="L27" s="781"/>
      <c r="M27" s="781"/>
      <c r="N27" s="781"/>
      <c r="O27" s="781"/>
      <c r="P27" s="781"/>
      <c r="Q27" s="781"/>
      <c r="R27" s="781"/>
      <c r="S27" s="781"/>
      <c r="T27" s="781"/>
      <c r="U27" s="156"/>
    </row>
    <row r="28" spans="1:27" s="23" customFormat="1" ht="13.5" customHeight="1" x14ac:dyDescent="0.25">
      <c r="A28" s="979" t="s">
        <v>725</v>
      </c>
      <c r="B28" s="979"/>
      <c r="C28" s="979"/>
      <c r="D28" s="979"/>
      <c r="E28" s="979"/>
      <c r="F28" s="979"/>
      <c r="G28" s="979"/>
      <c r="H28" s="979"/>
      <c r="I28" s="979"/>
      <c r="J28" s="979"/>
      <c r="K28" s="979"/>
      <c r="L28" s="568"/>
      <c r="M28" s="568"/>
      <c r="N28" s="568"/>
      <c r="O28" s="568"/>
      <c r="P28" s="568"/>
      <c r="Q28" s="568"/>
      <c r="R28" s="568"/>
      <c r="S28" s="568"/>
      <c r="T28" s="568"/>
      <c r="U28" s="156"/>
    </row>
    <row r="29" spans="1:27" ht="17.25" x14ac:dyDescent="0.25">
      <c r="A29" s="14" t="s">
        <v>257</v>
      </c>
      <c r="B29" s="14"/>
    </row>
    <row r="30" spans="1:27" s="12" customFormat="1" ht="28.9" customHeight="1" x14ac:dyDescent="0.2">
      <c r="A30" s="943" t="s">
        <v>156</v>
      </c>
      <c r="B30" s="943" t="s">
        <v>282</v>
      </c>
      <c r="C30" s="943" t="s">
        <v>157</v>
      </c>
      <c r="D30" s="943" t="s">
        <v>158</v>
      </c>
      <c r="E30" s="968" t="s">
        <v>337</v>
      </c>
      <c r="F30" s="969"/>
      <c r="G30" s="968" t="s">
        <v>277</v>
      </c>
      <c r="H30" s="969"/>
      <c r="I30" s="968" t="s">
        <v>159</v>
      </c>
      <c r="J30" s="969"/>
      <c r="K30" s="975" t="s">
        <v>749</v>
      </c>
      <c r="L30" s="948"/>
      <c r="M30" s="948"/>
      <c r="N30" s="948"/>
      <c r="O30" s="949"/>
      <c r="P30" s="943" t="s">
        <v>250</v>
      </c>
      <c r="Q30" s="968" t="s">
        <v>750</v>
      </c>
      <c r="R30" s="969"/>
      <c r="S30" s="968" t="s">
        <v>751</v>
      </c>
      <c r="T30" s="969"/>
      <c r="U30" s="968" t="s">
        <v>751</v>
      </c>
      <c r="V30" s="973"/>
      <c r="W30" s="973"/>
      <c r="X30" s="973"/>
      <c r="Y30" s="973"/>
      <c r="Z30" s="969"/>
    </row>
    <row r="31" spans="1:27" s="12" customFormat="1" ht="14.45" customHeight="1" x14ac:dyDescent="0.2">
      <c r="A31" s="944"/>
      <c r="B31" s="944"/>
      <c r="C31" s="944"/>
      <c r="D31" s="944"/>
      <c r="E31" s="939"/>
      <c r="F31" s="940"/>
      <c r="G31" s="939"/>
      <c r="H31" s="940"/>
      <c r="I31" s="939"/>
      <c r="J31" s="940"/>
      <c r="K31" s="975" t="s">
        <v>160</v>
      </c>
      <c r="L31" s="948"/>
      <c r="M31" s="949"/>
      <c r="N31" s="968" t="s">
        <v>626</v>
      </c>
      <c r="O31" s="969"/>
      <c r="P31" s="944"/>
      <c r="Q31" s="939"/>
      <c r="R31" s="940"/>
      <c r="S31" s="939"/>
      <c r="T31" s="940"/>
      <c r="U31" s="941"/>
      <c r="V31" s="974"/>
      <c r="W31" s="974"/>
      <c r="X31" s="974"/>
      <c r="Y31" s="974"/>
      <c r="Z31" s="942"/>
    </row>
    <row r="32" spans="1:27" s="12" customFormat="1" ht="20.25" customHeight="1" x14ac:dyDescent="0.2">
      <c r="A32" s="944"/>
      <c r="B32" s="944"/>
      <c r="C32" s="944"/>
      <c r="D32" s="944"/>
      <c r="E32" s="941"/>
      <c r="F32" s="942"/>
      <c r="G32" s="941"/>
      <c r="H32" s="942"/>
      <c r="I32" s="941"/>
      <c r="J32" s="942"/>
      <c r="K32" s="950" t="s">
        <v>161</v>
      </c>
      <c r="L32" s="975" t="s">
        <v>247</v>
      </c>
      <c r="M32" s="949"/>
      <c r="N32" s="941"/>
      <c r="O32" s="942"/>
      <c r="P32" s="946"/>
      <c r="Q32" s="941"/>
      <c r="R32" s="942"/>
      <c r="S32" s="941"/>
      <c r="T32" s="942"/>
      <c r="U32" s="975" t="s">
        <v>584</v>
      </c>
      <c r="V32" s="949"/>
      <c r="W32" s="975" t="s">
        <v>585</v>
      </c>
      <c r="X32" s="949"/>
      <c r="Y32" s="975" t="s">
        <v>586</v>
      </c>
      <c r="Z32" s="949"/>
    </row>
    <row r="33" spans="1:27" s="12" customFormat="1" ht="21" x14ac:dyDescent="0.2">
      <c r="A33" s="945"/>
      <c r="B33" s="946"/>
      <c r="C33" s="945"/>
      <c r="D33" s="945"/>
      <c r="E33" s="154" t="s">
        <v>161</v>
      </c>
      <c r="F33" s="125" t="s">
        <v>162</v>
      </c>
      <c r="G33" s="15" t="s">
        <v>161</v>
      </c>
      <c r="H33" s="16" t="s">
        <v>162</v>
      </c>
      <c r="I33" s="154" t="s">
        <v>161</v>
      </c>
      <c r="J33" s="125" t="s">
        <v>162</v>
      </c>
      <c r="K33" s="1119"/>
      <c r="L33" s="154" t="s">
        <v>161</v>
      </c>
      <c r="M33" s="125" t="s">
        <v>162</v>
      </c>
      <c r="N33" s="154" t="s">
        <v>161</v>
      </c>
      <c r="O33" s="125" t="s">
        <v>162</v>
      </c>
      <c r="P33" s="16" t="s">
        <v>162</v>
      </c>
      <c r="Q33" s="15" t="s">
        <v>161</v>
      </c>
      <c r="R33" s="16" t="s">
        <v>162</v>
      </c>
      <c r="S33" s="77" t="s">
        <v>161</v>
      </c>
      <c r="T33" s="78" t="s">
        <v>162</v>
      </c>
      <c r="U33" s="218" t="s">
        <v>161</v>
      </c>
      <c r="V33" s="209" t="s">
        <v>162</v>
      </c>
      <c r="W33" s="218" t="s">
        <v>161</v>
      </c>
      <c r="X33" s="209" t="s">
        <v>162</v>
      </c>
      <c r="Y33" s="218" t="s">
        <v>161</v>
      </c>
      <c r="Z33" s="209" t="s">
        <v>162</v>
      </c>
    </row>
    <row r="34" spans="1:27" s="23" customFormat="1" ht="33.75" x14ac:dyDescent="0.25">
      <c r="A34" s="57" t="s">
        <v>233</v>
      </c>
      <c r="B34" s="57">
        <v>8821</v>
      </c>
      <c r="C34" s="58">
        <v>16924299.284918845</v>
      </c>
      <c r="D34" s="106">
        <v>43374.999988425923</v>
      </c>
      <c r="E34" s="342">
        <v>46</v>
      </c>
      <c r="F34" s="352">
        <v>16443740.529999997</v>
      </c>
      <c r="G34" s="93">
        <v>0</v>
      </c>
      <c r="H34" s="93">
        <v>0</v>
      </c>
      <c r="I34" s="342">
        <v>46</v>
      </c>
      <c r="J34" s="352">
        <v>16356307.320000002</v>
      </c>
      <c r="K34" s="342">
        <v>46</v>
      </c>
      <c r="L34" s="400">
        <v>46</v>
      </c>
      <c r="M34" s="342">
        <v>16356307.320000002</v>
      </c>
      <c r="N34" s="363">
        <v>0</v>
      </c>
      <c r="O34" s="342">
        <v>0</v>
      </c>
      <c r="P34" s="58">
        <f>J34-M34</f>
        <v>0</v>
      </c>
      <c r="Q34" s="128">
        <v>86</v>
      </c>
      <c r="R34" s="159">
        <v>12786918.959999999</v>
      </c>
      <c r="S34" s="56">
        <v>72</v>
      </c>
      <c r="T34" s="58">
        <v>11183860.82</v>
      </c>
      <c r="U34" s="22">
        <v>1</v>
      </c>
      <c r="V34" s="22">
        <v>403610.26</v>
      </c>
      <c r="W34" s="22">
        <v>20</v>
      </c>
      <c r="X34" s="22">
        <v>5356790.540000001</v>
      </c>
      <c r="Y34" s="22">
        <v>14</v>
      </c>
      <c r="Z34" s="22">
        <v>5423460.0199999986</v>
      </c>
    </row>
    <row r="35" spans="1:27" ht="20.25" customHeight="1" x14ac:dyDescent="0.25">
      <c r="A35" s="59" t="s">
        <v>234</v>
      </c>
      <c r="B35" s="59"/>
      <c r="C35" s="60">
        <f>C34</f>
        <v>16924299.284918845</v>
      </c>
      <c r="D35" s="60"/>
      <c r="E35" s="60">
        <f t="shared" ref="E35:S35" si="5">SUM(E34:E34)</f>
        <v>46</v>
      </c>
      <c r="F35" s="60">
        <f t="shared" si="5"/>
        <v>16443740.529999997</v>
      </c>
      <c r="G35" s="60">
        <f t="shared" si="5"/>
        <v>0</v>
      </c>
      <c r="H35" s="60">
        <f t="shared" si="5"/>
        <v>0</v>
      </c>
      <c r="I35" s="60">
        <f t="shared" si="5"/>
        <v>46</v>
      </c>
      <c r="J35" s="60">
        <f t="shared" si="5"/>
        <v>16356307.320000002</v>
      </c>
      <c r="K35" s="60">
        <f t="shared" si="5"/>
        <v>46</v>
      </c>
      <c r="L35" s="60">
        <f t="shared" si="5"/>
        <v>46</v>
      </c>
      <c r="M35" s="60">
        <f>SUM(M34:M34)</f>
        <v>16356307.320000002</v>
      </c>
      <c r="N35" s="60">
        <f t="shared" si="5"/>
        <v>0</v>
      </c>
      <c r="O35" s="60">
        <f t="shared" si="5"/>
        <v>0</v>
      </c>
      <c r="P35" s="60">
        <f t="shared" si="5"/>
        <v>0</v>
      </c>
      <c r="Q35" s="60">
        <f t="shared" si="5"/>
        <v>86</v>
      </c>
      <c r="R35" s="60">
        <f>SUM(R34:R34)</f>
        <v>12786918.959999999</v>
      </c>
      <c r="S35" s="60">
        <f t="shared" si="5"/>
        <v>72</v>
      </c>
      <c r="T35" s="60">
        <f>SUM(T34:T34)</f>
        <v>11183860.82</v>
      </c>
      <c r="U35" s="20">
        <f t="shared" ref="U35:Z35" si="6">SUM(U34:U34)</f>
        <v>1</v>
      </c>
      <c r="V35" s="20">
        <f t="shared" si="6"/>
        <v>403610.26</v>
      </c>
      <c r="W35" s="20">
        <f t="shared" si="6"/>
        <v>20</v>
      </c>
      <c r="X35" s="20">
        <f t="shared" si="6"/>
        <v>5356790.540000001</v>
      </c>
      <c r="Y35" s="20">
        <f t="shared" si="6"/>
        <v>14</v>
      </c>
      <c r="Z35" s="20">
        <f t="shared" si="6"/>
        <v>5423460.0199999986</v>
      </c>
    </row>
    <row r="36" spans="1:27" s="23" customFormat="1" x14ac:dyDescent="0.25">
      <c r="A36" s="781" t="s">
        <v>542</v>
      </c>
      <c r="B36" s="781"/>
      <c r="C36" s="781"/>
      <c r="D36" s="781"/>
      <c r="E36" s="781"/>
      <c r="F36" s="781"/>
      <c r="G36" s="781"/>
      <c r="H36" s="781"/>
      <c r="I36" s="781"/>
      <c r="J36" s="781"/>
      <c r="K36" s="781"/>
      <c r="L36" s="781"/>
      <c r="M36" s="781"/>
      <c r="N36" s="781"/>
      <c r="O36" s="781"/>
      <c r="P36" s="781"/>
      <c r="Q36" s="781"/>
      <c r="R36" s="781"/>
      <c r="S36" s="781"/>
      <c r="T36" s="781"/>
      <c r="U36" s="156"/>
    </row>
    <row r="37" spans="1:27" ht="15" customHeight="1" x14ac:dyDescent="0.25">
      <c r="A37" s="210" t="s">
        <v>390</v>
      </c>
      <c r="B37" s="134"/>
      <c r="C37" s="134"/>
      <c r="D37" s="134"/>
      <c r="E37" s="134"/>
      <c r="F37" s="134"/>
      <c r="G37" s="134"/>
      <c r="H37" s="134"/>
      <c r="I37" s="134"/>
      <c r="J37" s="134"/>
      <c r="K37" s="134"/>
      <c r="L37" s="134"/>
      <c r="M37" s="134"/>
      <c r="N37" s="134"/>
      <c r="O37" s="134"/>
      <c r="P37" s="134"/>
      <c r="Q37" s="134"/>
      <c r="R37" s="134"/>
      <c r="U37"/>
    </row>
    <row r="38" spans="1:27" s="23" customFormat="1" ht="19.149999999999999" customHeight="1" x14ac:dyDescent="0.25">
      <c r="A38" s="935" t="s">
        <v>744</v>
      </c>
      <c r="B38" s="935"/>
      <c r="C38" s="935"/>
      <c r="D38" s="935"/>
      <c r="E38" s="935"/>
      <c r="F38" s="935"/>
      <c r="G38" s="935"/>
      <c r="H38" s="935"/>
      <c r="I38" s="935"/>
      <c r="J38" s="935"/>
      <c r="K38" s="935"/>
      <c r="L38" s="935"/>
      <c r="M38" s="935"/>
      <c r="N38" s="935"/>
      <c r="O38" s="935"/>
      <c r="P38" s="935"/>
      <c r="Q38" s="935"/>
      <c r="R38" s="935"/>
      <c r="S38" s="935"/>
      <c r="T38" s="935"/>
      <c r="U38" s="935"/>
      <c r="V38" s="935"/>
      <c r="W38" s="935"/>
      <c r="X38" s="935"/>
      <c r="Y38" s="935"/>
      <c r="Z38" s="935"/>
      <c r="AA38" s="935"/>
    </row>
    <row r="41" spans="1:27" x14ac:dyDescent="0.25">
      <c r="E41" s="50"/>
      <c r="I41" s="50"/>
    </row>
    <row r="42" spans="1:27" x14ac:dyDescent="0.25">
      <c r="K42" s="50"/>
    </row>
  </sheetData>
  <mergeCells count="86">
    <mergeCell ref="A28:K28"/>
    <mergeCell ref="A9:T9"/>
    <mergeCell ref="K12:K13"/>
    <mergeCell ref="G10:H12"/>
    <mergeCell ref="D10:D13"/>
    <mergeCell ref="E10:F12"/>
    <mergeCell ref="B10:B13"/>
    <mergeCell ref="C10:C13"/>
    <mergeCell ref="K10:O10"/>
    <mergeCell ref="Q10:R12"/>
    <mergeCell ref="P10:P12"/>
    <mergeCell ref="I10:J12"/>
    <mergeCell ref="L12:M12"/>
    <mergeCell ref="S10:T12"/>
    <mergeCell ref="K11:M11"/>
    <mergeCell ref="N11:O12"/>
    <mergeCell ref="A10:A13"/>
    <mergeCell ref="D2:D5"/>
    <mergeCell ref="E2:F4"/>
    <mergeCell ref="I2:J4"/>
    <mergeCell ref="B2:B5"/>
    <mergeCell ref="G2:H4"/>
    <mergeCell ref="K31:M31"/>
    <mergeCell ref="N31:O32"/>
    <mergeCell ref="K32:K33"/>
    <mergeCell ref="L32:M32"/>
    <mergeCell ref="Q30:R32"/>
    <mergeCell ref="A1:D1"/>
    <mergeCell ref="I21:J23"/>
    <mergeCell ref="K21:O21"/>
    <mergeCell ref="P21:P23"/>
    <mergeCell ref="Q21:R23"/>
    <mergeCell ref="P2:P4"/>
    <mergeCell ref="A8:T8"/>
    <mergeCell ref="Q2:R4"/>
    <mergeCell ref="S2:T4"/>
    <mergeCell ref="K3:M3"/>
    <mergeCell ref="K4:K5"/>
    <mergeCell ref="L4:M4"/>
    <mergeCell ref="N3:O4"/>
    <mergeCell ref="K2:O2"/>
    <mergeCell ref="A2:A5"/>
    <mergeCell ref="C2:C5"/>
    <mergeCell ref="U2:Z3"/>
    <mergeCell ref="U4:V4"/>
    <mergeCell ref="W4:X4"/>
    <mergeCell ref="Y4:Z4"/>
    <mergeCell ref="U10:Z11"/>
    <mergeCell ref="C21:C24"/>
    <mergeCell ref="D21:D24"/>
    <mergeCell ref="C14:C15"/>
    <mergeCell ref="A21:A24"/>
    <mergeCell ref="A17:T17"/>
    <mergeCell ref="S21:T23"/>
    <mergeCell ref="S30:T32"/>
    <mergeCell ref="U12:V12"/>
    <mergeCell ref="W12:X12"/>
    <mergeCell ref="Y12:Z12"/>
    <mergeCell ref="U21:Z22"/>
    <mergeCell ref="U23:V23"/>
    <mergeCell ref="W23:X23"/>
    <mergeCell ref="Y23:Z23"/>
    <mergeCell ref="A27:T27"/>
    <mergeCell ref="E21:F23"/>
    <mergeCell ref="G21:H23"/>
    <mergeCell ref="N22:O23"/>
    <mergeCell ref="K23:K24"/>
    <mergeCell ref="L23:M23"/>
    <mergeCell ref="K22:M22"/>
    <mergeCell ref="B21:B24"/>
    <mergeCell ref="A38:AA38"/>
    <mergeCell ref="A19:AA19"/>
    <mergeCell ref="U30:Z31"/>
    <mergeCell ref="U32:V32"/>
    <mergeCell ref="W32:X32"/>
    <mergeCell ref="Y32:Z32"/>
    <mergeCell ref="A36:T36"/>
    <mergeCell ref="A30:A33"/>
    <mergeCell ref="C30:C33"/>
    <mergeCell ref="P30:P32"/>
    <mergeCell ref="D30:D33"/>
    <mergeCell ref="B30:B33"/>
    <mergeCell ref="G30:H32"/>
    <mergeCell ref="K30:O30"/>
    <mergeCell ref="E30:F32"/>
    <mergeCell ref="I30:J32"/>
  </mergeCells>
  <pageMargins left="0.51181102362204722" right="0.51181102362204722" top="0.74803149606299213" bottom="0.74803149606299213" header="0.31496062992125984" footer="0.31496062992125984"/>
  <pageSetup paperSize="9" scale="74" orientation="landscape" r:id="rId1"/>
  <rowBreaks count="1" manualBreakCount="1">
    <brk id="19" max="2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65"/>
  <sheetViews>
    <sheetView topLeftCell="B1" zoomScaleNormal="100" zoomScaleSheetLayoutView="90" workbookViewId="0">
      <pane xSplit="1" ySplit="4" topLeftCell="C5" activePane="bottomRight" state="frozen"/>
      <selection activeCell="B1" sqref="B1"/>
      <selection pane="topRight" activeCell="C1" sqref="C1"/>
      <selection pane="bottomLeft" activeCell="B5" sqref="B5"/>
      <selection pane="bottomRight" activeCell="M7" sqref="M7"/>
    </sheetView>
  </sheetViews>
  <sheetFormatPr defaultColWidth="8.85546875" defaultRowHeight="15" x14ac:dyDescent="0.25"/>
  <cols>
    <col min="1" max="1" width="11.5703125" customWidth="1"/>
    <col min="2" max="2" width="35.5703125" customWidth="1"/>
    <col min="3" max="4" width="13" style="7" customWidth="1"/>
    <col min="5" max="5" width="13.140625" style="7" customWidth="1"/>
    <col min="6" max="6" width="13" style="8" customWidth="1"/>
    <col min="7" max="7" width="9.140625" style="8" customWidth="1"/>
    <col min="8" max="8" width="14.28515625" style="10" customWidth="1"/>
    <col min="9" max="9" width="12.5703125" style="10" customWidth="1"/>
    <col min="10" max="10" width="8.140625" style="8" customWidth="1"/>
    <col min="11" max="11" width="10.140625" style="8" customWidth="1"/>
    <col min="12" max="12" width="10.140625" style="23" customWidth="1"/>
    <col min="13" max="13" width="17.7109375" style="23" bestFit="1" customWidth="1"/>
    <col min="14" max="14" width="13.7109375" style="23" bestFit="1" customWidth="1"/>
    <col min="15" max="16384" width="8.85546875" style="23"/>
  </cols>
  <sheetData>
    <row r="1" spans="1:14" x14ac:dyDescent="0.25">
      <c r="A1" s="805" t="s">
        <v>765</v>
      </c>
      <c r="B1" s="805"/>
      <c r="C1" s="805"/>
      <c r="D1" s="805"/>
      <c r="E1" s="805"/>
      <c r="F1" s="805"/>
      <c r="G1" s="805"/>
      <c r="H1" s="805"/>
      <c r="I1" s="805"/>
      <c r="J1" s="805"/>
      <c r="K1" s="576"/>
    </row>
    <row r="2" spans="1:14" ht="32.25" customHeight="1" x14ac:dyDescent="0.25">
      <c r="A2" s="777" t="s">
        <v>115</v>
      </c>
      <c r="B2" s="777" t="s">
        <v>0</v>
      </c>
      <c r="C2" s="838" t="s">
        <v>691</v>
      </c>
      <c r="D2" s="838"/>
      <c r="E2" s="161" t="s">
        <v>508</v>
      </c>
      <c r="F2" s="777" t="s">
        <v>284</v>
      </c>
      <c r="G2" s="777"/>
      <c r="H2" s="838" t="s">
        <v>766</v>
      </c>
      <c r="I2" s="751"/>
      <c r="J2" s="838"/>
      <c r="K2" s="802" t="s">
        <v>731</v>
      </c>
      <c r="L2" s="804"/>
    </row>
    <row r="3" spans="1:14" ht="66.75" customHeight="1" x14ac:dyDescent="0.25">
      <c r="A3" s="777"/>
      <c r="B3" s="777"/>
      <c r="C3" s="546" t="s">
        <v>895</v>
      </c>
      <c r="D3" s="161" t="s">
        <v>511</v>
      </c>
      <c r="E3" s="161" t="s">
        <v>512</v>
      </c>
      <c r="F3" s="161" t="s">
        <v>512</v>
      </c>
      <c r="G3" s="195" t="s">
        <v>507</v>
      </c>
      <c r="H3" s="161" t="s">
        <v>512</v>
      </c>
      <c r="I3" s="546" t="s">
        <v>694</v>
      </c>
      <c r="J3" s="195" t="s">
        <v>417</v>
      </c>
      <c r="K3" s="548" t="s">
        <v>733</v>
      </c>
      <c r="L3" s="548" t="s">
        <v>249</v>
      </c>
    </row>
    <row r="4" spans="1:14" x14ac:dyDescent="0.25">
      <c r="A4" s="777"/>
      <c r="B4" s="777"/>
      <c r="C4" s="161" t="s">
        <v>305</v>
      </c>
      <c r="D4" s="161" t="s">
        <v>306</v>
      </c>
      <c r="E4" s="161" t="s">
        <v>307</v>
      </c>
      <c r="F4" s="195" t="s">
        <v>308</v>
      </c>
      <c r="G4" s="195" t="s">
        <v>517</v>
      </c>
      <c r="H4" s="116" t="s">
        <v>515</v>
      </c>
      <c r="I4" s="547" t="s">
        <v>637</v>
      </c>
      <c r="J4" s="195" t="s">
        <v>695</v>
      </c>
      <c r="K4" s="548" t="s">
        <v>734</v>
      </c>
      <c r="L4" s="195" t="s">
        <v>735</v>
      </c>
    </row>
    <row r="5" spans="1:14" ht="22.5" x14ac:dyDescent="0.25">
      <c r="A5" s="91" t="s">
        <v>130</v>
      </c>
      <c r="B5" s="63" t="s">
        <v>3</v>
      </c>
      <c r="C5" s="594">
        <v>1739927.65</v>
      </c>
      <c r="D5" s="739">
        <v>1305600</v>
      </c>
      <c r="E5" s="96">
        <v>2720000</v>
      </c>
      <c r="F5" s="157">
        <f>'Avanzamento_ SP_totale'!L6</f>
        <v>2397371.37</v>
      </c>
      <c r="G5" s="64">
        <f>F5/C5</f>
        <v>1.3778569298556755</v>
      </c>
      <c r="H5" s="256">
        <f>'Avanzamento_ SP_totale'!O6</f>
        <v>619844.99</v>
      </c>
      <c r="I5" s="556">
        <v>297525.58</v>
      </c>
      <c r="J5" s="64">
        <f>H5/C5</f>
        <v>0.35624756581114164</v>
      </c>
      <c r="K5" s="605">
        <f>C5-H5</f>
        <v>1120082.6599999999</v>
      </c>
      <c r="L5" s="606">
        <f>D5-I5</f>
        <v>1008074.4199999999</v>
      </c>
    </row>
    <row r="6" spans="1:14" ht="22.5" x14ac:dyDescent="0.25">
      <c r="A6" s="91" t="s">
        <v>131</v>
      </c>
      <c r="B6" s="63" t="s">
        <v>5</v>
      </c>
      <c r="C6" s="594">
        <v>1985995.1800000002</v>
      </c>
      <c r="D6" s="739">
        <v>1147344.01</v>
      </c>
      <c r="E6" s="96">
        <v>3500000</v>
      </c>
      <c r="F6" s="157">
        <f>'Avanzamento_ SP_totale'!L7</f>
        <v>2446364.91</v>
      </c>
      <c r="G6" s="64">
        <f>F6/C6</f>
        <v>1.2318080802190063</v>
      </c>
      <c r="H6" s="256">
        <f>'Avanzamento_ SP_totale'!O7</f>
        <v>1412827.5999999999</v>
      </c>
      <c r="I6" s="556">
        <v>786248.42</v>
      </c>
      <c r="J6" s="64">
        <f t="shared" ref="J6:J28" si="0">H6/C6</f>
        <v>0.71139528143265673</v>
      </c>
      <c r="K6" s="605">
        <f t="shared" ref="K6:K57" si="1">C6-H6</f>
        <v>573167.58000000031</v>
      </c>
      <c r="L6" s="606">
        <f t="shared" ref="L6:L57" si="2">D6-I6</f>
        <v>361095.58999999997</v>
      </c>
    </row>
    <row r="7" spans="1:14" ht="22.5" x14ac:dyDescent="0.25">
      <c r="A7" s="91" t="s">
        <v>132</v>
      </c>
      <c r="B7" s="63" t="s">
        <v>7</v>
      </c>
      <c r="C7" s="594">
        <v>1299579.1105158729</v>
      </c>
      <c r="D7" s="739">
        <v>652800</v>
      </c>
      <c r="E7" s="114">
        <v>1360000</v>
      </c>
      <c r="F7" s="157">
        <f>'Avanzamento_ SP_totale'!L8</f>
        <v>1797663.3499999999</v>
      </c>
      <c r="G7" s="64">
        <f>F7/C7</f>
        <v>1.3832658092560526</v>
      </c>
      <c r="H7" s="256">
        <f>'Avanzamento_ SP_totale'!O8</f>
        <v>1259043.03</v>
      </c>
      <c r="I7" s="556">
        <v>627262.30279999995</v>
      </c>
      <c r="J7" s="64">
        <f t="shared" si="0"/>
        <v>0.96880830094307846</v>
      </c>
      <c r="K7" s="605">
        <f t="shared" si="1"/>
        <v>40536.08051587292</v>
      </c>
      <c r="L7" s="606">
        <f t="shared" si="2"/>
        <v>25537.697200000053</v>
      </c>
    </row>
    <row r="8" spans="1:14" ht="33.75" x14ac:dyDescent="0.25">
      <c r="A8" s="91" t="s">
        <v>133</v>
      </c>
      <c r="B8" s="63" t="s">
        <v>8</v>
      </c>
      <c r="C8" s="594">
        <v>1383579.7172619046</v>
      </c>
      <c r="D8" s="739">
        <v>736800</v>
      </c>
      <c r="E8" s="96">
        <v>2111592.6</v>
      </c>
      <c r="F8" s="157">
        <f>'Avanzamento_ SP_totale'!L9</f>
        <v>1701460.08</v>
      </c>
      <c r="G8" s="64">
        <f>F8/C8</f>
        <v>1.2297521124168969</v>
      </c>
      <c r="H8" s="256">
        <f>'Avanzamento_ SP_totale'!O9</f>
        <v>1019821.9199999999</v>
      </c>
      <c r="I8" s="556">
        <v>507632.59119999997</v>
      </c>
      <c r="J8" s="64">
        <f t="shared" si="0"/>
        <v>0.73708938290756454</v>
      </c>
      <c r="K8" s="605">
        <f t="shared" si="1"/>
        <v>363757.79726190469</v>
      </c>
      <c r="L8" s="606">
        <f t="shared" si="2"/>
        <v>229167.40880000003</v>
      </c>
    </row>
    <row r="9" spans="1:14" ht="22.5" x14ac:dyDescent="0.25">
      <c r="A9" s="91" t="s">
        <v>134</v>
      </c>
      <c r="B9" s="63" t="s">
        <v>10</v>
      </c>
      <c r="C9" s="594">
        <v>191833699.60380948</v>
      </c>
      <c r="D9" s="739">
        <v>95711287.022399992</v>
      </c>
      <c r="E9" s="96">
        <v>220029730.89000008</v>
      </c>
      <c r="F9" s="114">
        <f>'Avanzamento_ SP_totale'!L10-'AVANZAMENTO EURI'!E5-'AVANZAMENTO TOP UP'!E5</f>
        <v>232533234.65000001</v>
      </c>
      <c r="G9" s="64">
        <f t="shared" ref="G9:G28" si="3">F9/C9</f>
        <v>1.2121605074095245</v>
      </c>
      <c r="H9" s="256">
        <f>'Avanzamento_ SP_totale'!O10-'AVANZAMENTO EURI'!G5-'AVANZAMENTO TOP UP'!G5</f>
        <v>180411163.99999982</v>
      </c>
      <c r="I9" s="556">
        <v>88619224.946800008</v>
      </c>
      <c r="J9" s="64">
        <f t="shared" si="0"/>
        <v>0.94045605319920123</v>
      </c>
      <c r="K9" s="605">
        <f t="shared" si="1"/>
        <v>11422535.603809655</v>
      </c>
      <c r="L9" s="606">
        <f>D9-I9</f>
        <v>7092062.0755999833</v>
      </c>
      <c r="M9" s="271"/>
      <c r="N9" s="271"/>
    </row>
    <row r="10" spans="1:14" ht="33.75" x14ac:dyDescent="0.25">
      <c r="A10" s="91" t="s">
        <v>135</v>
      </c>
      <c r="B10" s="63" t="s">
        <v>11</v>
      </c>
      <c r="C10" s="594">
        <v>43672910.177380949</v>
      </c>
      <c r="D10" s="739">
        <v>21708000</v>
      </c>
      <c r="E10" s="99">
        <v>51387578.509999998</v>
      </c>
      <c r="F10" s="114">
        <f>'Avanzamento_ SP_totale'!L11</f>
        <v>55259387.579999998</v>
      </c>
      <c r="G10" s="64">
        <f t="shared" si="3"/>
        <v>1.2653012440792166</v>
      </c>
      <c r="H10" s="256">
        <f>'Avanzamento_ SP_totale'!O11</f>
        <v>41242476.539999999</v>
      </c>
      <c r="I10" s="556">
        <v>20176379.084799994</v>
      </c>
      <c r="J10" s="64">
        <f t="shared" si="0"/>
        <v>0.94434917143122465</v>
      </c>
      <c r="K10" s="605">
        <f t="shared" si="1"/>
        <v>2430433.6373809502</v>
      </c>
      <c r="L10" s="606">
        <f t="shared" si="2"/>
        <v>1531620.9152000062</v>
      </c>
    </row>
    <row r="11" spans="1:14" ht="22.5" x14ac:dyDescent="0.25">
      <c r="A11" s="787" t="s">
        <v>136</v>
      </c>
      <c r="B11" s="63" t="s">
        <v>12</v>
      </c>
      <c r="C11" s="594">
        <v>36550598.583134919</v>
      </c>
      <c r="D11" s="739">
        <v>19680000</v>
      </c>
      <c r="E11" s="96">
        <v>49026021.320000023</v>
      </c>
      <c r="F11" s="114">
        <f>'Avanzamento_ SP_totale'!L12</f>
        <v>49904661.440000035</v>
      </c>
      <c r="G11" s="64">
        <f t="shared" si="3"/>
        <v>1.3653582533399853</v>
      </c>
      <c r="H11" s="256">
        <f>'Avanzamento_ SP_totale'!O12</f>
        <v>30368703.890000023</v>
      </c>
      <c r="I11" s="556">
        <v>15785406.302400008</v>
      </c>
      <c r="J11" s="64">
        <f t="shared" si="0"/>
        <v>0.83086748417884104</v>
      </c>
      <c r="K11" s="605">
        <f t="shared" si="1"/>
        <v>6181894.6931348965</v>
      </c>
      <c r="L11" s="606">
        <f t="shared" si="2"/>
        <v>3894593.6975999922</v>
      </c>
    </row>
    <row r="12" spans="1:14" x14ac:dyDescent="0.25">
      <c r="A12" s="787"/>
      <c r="B12" s="63" t="s">
        <v>13</v>
      </c>
      <c r="C12" s="594">
        <v>5406590.7180555556</v>
      </c>
      <c r="D12" s="739">
        <v>2960415</v>
      </c>
      <c r="E12" s="114">
        <v>15000000</v>
      </c>
      <c r="F12" s="114">
        <f>'Avanzamento_ SP_totale'!L13</f>
        <v>10183752.060000001</v>
      </c>
      <c r="G12" s="64">
        <f t="shared" si="3"/>
        <v>1.8835810940877951</v>
      </c>
      <c r="H12" s="256">
        <f>'Avanzamento_ SP_totale'!O13</f>
        <v>3967152.3200000003</v>
      </c>
      <c r="I12" s="556">
        <v>2053568.8200000003</v>
      </c>
      <c r="J12" s="64">
        <f t="shared" si="0"/>
        <v>0.7337622777236521</v>
      </c>
      <c r="K12" s="605">
        <f t="shared" si="1"/>
        <v>1439438.3980555553</v>
      </c>
      <c r="L12" s="606">
        <f>D12-I12</f>
        <v>906846.1799999997</v>
      </c>
    </row>
    <row r="13" spans="1:14" x14ac:dyDescent="0.25">
      <c r="A13" s="91" t="s">
        <v>137</v>
      </c>
      <c r="B13" s="63" t="s">
        <v>15</v>
      </c>
      <c r="C13" s="594">
        <v>1487424.3172619045</v>
      </c>
      <c r="D13" s="636">
        <v>724635</v>
      </c>
      <c r="E13" s="114">
        <v>3000000</v>
      </c>
      <c r="F13" s="114">
        <f>'Avanzamento_ SP_totale'!L14</f>
        <v>1456381.83</v>
      </c>
      <c r="G13" s="64">
        <f t="shared" si="3"/>
        <v>0.97913003915449737</v>
      </c>
      <c r="H13" s="256">
        <f>'Avanzamento_ SP_totale'!O14</f>
        <v>1429371.0499999998</v>
      </c>
      <c r="I13" s="556">
        <v>688061.84200000006</v>
      </c>
      <c r="J13" s="64">
        <f t="shared" si="0"/>
        <v>0.96097060765500264</v>
      </c>
      <c r="K13" s="605">
        <f t="shared" si="1"/>
        <v>58053.267261904664</v>
      </c>
      <c r="L13" s="606">
        <f t="shared" si="2"/>
        <v>36573.157999999938</v>
      </c>
    </row>
    <row r="14" spans="1:14" x14ac:dyDescent="0.25">
      <c r="A14" s="91" t="s">
        <v>138</v>
      </c>
      <c r="B14" s="63" t="s">
        <v>16</v>
      </c>
      <c r="C14" s="594">
        <v>13328231.61468254</v>
      </c>
      <c r="D14" s="737">
        <v>6562134.7199999997</v>
      </c>
      <c r="E14" s="379">
        <v>14633071.850000007</v>
      </c>
      <c r="F14" s="114">
        <f>'Avanzamento_ SP_totale'!L15</f>
        <v>16153053.06000001</v>
      </c>
      <c r="G14" s="64">
        <f t="shared" si="3"/>
        <v>1.2119427038021768</v>
      </c>
      <c r="H14" s="256">
        <f>'Avanzamento_ SP_totale'!O15</f>
        <v>12751032.29000001</v>
      </c>
      <c r="I14" s="556">
        <v>6194252.5588000026</v>
      </c>
      <c r="J14" s="64">
        <f t="shared" si="0"/>
        <v>0.95669348032287493</v>
      </c>
      <c r="K14" s="605">
        <f t="shared" si="1"/>
        <v>577199.32468253002</v>
      </c>
      <c r="L14" s="606">
        <f t="shared" si="2"/>
        <v>367882.16119999718</v>
      </c>
    </row>
    <row r="15" spans="1:14" ht="22.5" x14ac:dyDescent="0.25">
      <c r="A15" s="91" t="s">
        <v>139</v>
      </c>
      <c r="B15" s="63" t="s">
        <v>18</v>
      </c>
      <c r="C15" s="594">
        <v>63945020.808531746</v>
      </c>
      <c r="D15" s="591">
        <v>31091706</v>
      </c>
      <c r="E15" s="114">
        <v>75115000</v>
      </c>
      <c r="F15" s="114">
        <f>'Avanzamento_ SP_totale'!L16-'AVANZAMENTO EURI'!E6-'AVANZAMENTO TOP UP'!E8</f>
        <v>71710000</v>
      </c>
      <c r="G15" s="64">
        <f t="shared" si="3"/>
        <v>1.1214321161098477</v>
      </c>
      <c r="H15" s="256">
        <f>'Avanzamento_ SP_totale'!O16-'AVANZAMENTO EURI'!G6-'AVANZAMENTO TOP UP'!G8</f>
        <v>61502512.349999987</v>
      </c>
      <c r="I15" s="556">
        <v>28362131.857999999</v>
      </c>
      <c r="J15" s="64">
        <f>H15/C15</f>
        <v>0.96180299220098353</v>
      </c>
      <c r="K15" s="605">
        <f>C15-H15</f>
        <v>2442508.4585317597</v>
      </c>
      <c r="L15" s="606">
        <f>D15-I15</f>
        <v>2729574.1420000009</v>
      </c>
      <c r="M15" s="271"/>
      <c r="N15" s="271"/>
    </row>
    <row r="16" spans="1:14" ht="33.75" x14ac:dyDescent="0.25">
      <c r="A16" s="91" t="s">
        <v>140</v>
      </c>
      <c r="B16" s="63" t="s">
        <v>19</v>
      </c>
      <c r="C16" s="594">
        <v>5563879.6428571427</v>
      </c>
      <c r="D16" s="591">
        <v>2804622</v>
      </c>
      <c r="E16" s="114">
        <v>6500000</v>
      </c>
      <c r="F16" s="114">
        <f>'Avanzamento_ SP_totale'!L17</f>
        <v>6350000</v>
      </c>
      <c r="G16" s="64">
        <f t="shared" si="3"/>
        <v>1.141289964485855</v>
      </c>
      <c r="H16" s="256">
        <f>'Avanzamento_ SP_totale'!O17</f>
        <v>5289339.79</v>
      </c>
      <c r="I16" s="556">
        <v>2602916.1992000001</v>
      </c>
      <c r="J16" s="64">
        <f t="shared" si="0"/>
        <v>0.9506567592256252</v>
      </c>
      <c r="K16" s="605">
        <f t="shared" si="1"/>
        <v>274539.85285714269</v>
      </c>
      <c r="L16" s="606">
        <f t="shared" si="2"/>
        <v>201705.80079999985</v>
      </c>
    </row>
    <row r="17" spans="1:13" ht="33.75" x14ac:dyDescent="0.25">
      <c r="A17" s="787" t="s">
        <v>141</v>
      </c>
      <c r="B17" s="63" t="s">
        <v>20</v>
      </c>
      <c r="C17" s="594">
        <v>5729496.8601190476</v>
      </c>
      <c r="D17" s="591">
        <v>2769375</v>
      </c>
      <c r="E17" s="114">
        <v>7028344.959999999</v>
      </c>
      <c r="F17" s="114">
        <f>'Avanzamento_ SP_totale'!L18</f>
        <v>6995398.1600000001</v>
      </c>
      <c r="G17" s="64">
        <f t="shared" si="3"/>
        <v>1.2209445839289019</v>
      </c>
      <c r="H17" s="256">
        <f>'Avanzamento_ SP_totale'!O18</f>
        <v>5672665.5599999996</v>
      </c>
      <c r="I17" s="556">
        <v>2736414.1888000001</v>
      </c>
      <c r="J17" s="64">
        <f t="shared" si="0"/>
        <v>0.99008092656187141</v>
      </c>
      <c r="K17" s="605">
        <f t="shared" si="1"/>
        <v>56831.300119047984</v>
      </c>
      <c r="L17" s="606">
        <f t="shared" si="2"/>
        <v>32960.81119999988</v>
      </c>
    </row>
    <row r="18" spans="1:13" ht="22.5" x14ac:dyDescent="0.25">
      <c r="A18" s="787"/>
      <c r="B18" s="63" t="s">
        <v>21</v>
      </c>
      <c r="C18" s="594">
        <v>4796354.1480158726</v>
      </c>
      <c r="D18" s="591">
        <v>2358297</v>
      </c>
      <c r="E18" s="114">
        <v>6000000</v>
      </c>
      <c r="F18" s="114">
        <f>'Avanzamento_ SP_totale'!L19</f>
        <v>5226126.13</v>
      </c>
      <c r="G18" s="64">
        <f t="shared" si="3"/>
        <v>1.0896038884372024</v>
      </c>
      <c r="H18" s="256">
        <f>'Avanzamento_ SP_totale'!O19</f>
        <v>4499037.7</v>
      </c>
      <c r="I18" s="556">
        <v>2181365.4963999996</v>
      </c>
      <c r="J18" s="64">
        <f t="shared" si="0"/>
        <v>0.93801199018240455</v>
      </c>
      <c r="K18" s="605">
        <f t="shared" si="1"/>
        <v>297316.44801587239</v>
      </c>
      <c r="L18" s="606">
        <f t="shared" si="2"/>
        <v>176931.5036000004</v>
      </c>
    </row>
    <row r="19" spans="1:13" ht="33.75" x14ac:dyDescent="0.25">
      <c r="A19" s="91" t="s">
        <v>142</v>
      </c>
      <c r="B19" s="65" t="s">
        <v>23</v>
      </c>
      <c r="C19" s="594">
        <v>179296.49285714288</v>
      </c>
      <c r="D19" s="591">
        <v>112957</v>
      </c>
      <c r="E19" s="114">
        <v>179283</v>
      </c>
      <c r="F19" s="114">
        <f>'Avanzamento_ SP_totale'!L20</f>
        <v>179282.68</v>
      </c>
      <c r="G19" s="64">
        <f t="shared" si="3"/>
        <v>0.99992296080685816</v>
      </c>
      <c r="H19" s="256">
        <f>'Avanzamento_ SP_totale'!O20</f>
        <v>0</v>
      </c>
      <c r="I19" s="556">
        <f>'Avanzamento_ SP_totale'!R20</f>
        <v>0</v>
      </c>
      <c r="J19" s="64">
        <f t="shared" si="0"/>
        <v>0</v>
      </c>
      <c r="K19" s="605">
        <f t="shared" si="1"/>
        <v>179296.49285714288</v>
      </c>
      <c r="L19" s="606">
        <f t="shared" si="2"/>
        <v>112957</v>
      </c>
    </row>
    <row r="20" spans="1:13" ht="33.75" x14ac:dyDescent="0.25">
      <c r="A20" s="91" t="s">
        <v>143</v>
      </c>
      <c r="B20" s="65" t="s">
        <v>24</v>
      </c>
      <c r="C20" s="594">
        <v>857142.85714285716</v>
      </c>
      <c r="D20" s="739">
        <v>540000</v>
      </c>
      <c r="E20" s="99">
        <v>1756456.9500000002</v>
      </c>
      <c r="F20" s="114">
        <f>'Avanzamento_ SP_totale'!L21</f>
        <v>2595532.08</v>
      </c>
      <c r="G20" s="64">
        <f t="shared" si="3"/>
        <v>3.0281207600000002</v>
      </c>
      <c r="H20" s="256">
        <f>'Avanzamento_ SP_totale'!O21</f>
        <v>241774.58000000002</v>
      </c>
      <c r="I20" s="556">
        <v>152317.99</v>
      </c>
      <c r="J20" s="64">
        <f t="shared" si="0"/>
        <v>0.28207034333333336</v>
      </c>
      <c r="K20" s="605">
        <f t="shared" si="1"/>
        <v>615368.2771428572</v>
      </c>
      <c r="L20" s="606">
        <f t="shared" si="2"/>
        <v>387682.01</v>
      </c>
    </row>
    <row r="21" spans="1:13" x14ac:dyDescent="0.25">
      <c r="A21" s="91" t="s">
        <v>144</v>
      </c>
      <c r="B21" s="63" t="s">
        <v>25</v>
      </c>
      <c r="C21" s="594">
        <v>41388910.669047624</v>
      </c>
      <c r="D21" s="591">
        <v>21083090.280000001</v>
      </c>
      <c r="E21" s="114">
        <v>46768875</v>
      </c>
      <c r="F21" s="114">
        <f>'Avanzamento_ SP_totale'!L22</f>
        <v>41388859.109999999</v>
      </c>
      <c r="G21" s="64">
        <f t="shared" si="3"/>
        <v>0.99999875427869955</v>
      </c>
      <c r="H21" s="256">
        <f>'Avanzamento_ SP_totale'!O22</f>
        <v>39766985.210000001</v>
      </c>
      <c r="I21" s="556">
        <v>20061277.239999998</v>
      </c>
      <c r="J21" s="64">
        <f t="shared" si="0"/>
        <v>0.96081255986617287</v>
      </c>
      <c r="K21" s="605">
        <f t="shared" si="1"/>
        <v>1621925.459047623</v>
      </c>
      <c r="L21" s="606">
        <f t="shared" si="2"/>
        <v>1021813.0400000028</v>
      </c>
    </row>
    <row r="22" spans="1:13" ht="22.5" x14ac:dyDescent="0.25">
      <c r="A22" s="91" t="s">
        <v>145</v>
      </c>
      <c r="B22" s="65" t="s">
        <v>26</v>
      </c>
      <c r="C22" s="594">
        <v>3134301.9404761908</v>
      </c>
      <c r="D22" s="591">
        <v>1504464.96</v>
      </c>
      <c r="E22" s="597">
        <v>3134301.83</v>
      </c>
      <c r="F22" s="114">
        <f>'Avanzamento_ SP_totale'!L23</f>
        <v>3134301.83</v>
      </c>
      <c r="G22" s="64">
        <f t="shared" si="3"/>
        <v>0.99999996475253727</v>
      </c>
      <c r="H22" s="256">
        <f>'Avanzamento_ SP_totale'!O23</f>
        <v>3134301.83</v>
      </c>
      <c r="I22" s="556">
        <v>1504464.88</v>
      </c>
      <c r="J22" s="64">
        <f t="shared" si="0"/>
        <v>0.99999996475253727</v>
      </c>
      <c r="K22" s="605">
        <f t="shared" si="1"/>
        <v>0.11047619068995118</v>
      </c>
      <c r="L22" s="606">
        <f t="shared" si="2"/>
        <v>8.0000000074505806E-2</v>
      </c>
    </row>
    <row r="23" spans="1:13" x14ac:dyDescent="0.25">
      <c r="A23" s="91" t="s">
        <v>146</v>
      </c>
      <c r="B23" s="65" t="s">
        <v>27</v>
      </c>
      <c r="C23" s="594">
        <v>2344597.6524603176</v>
      </c>
      <c r="D23" s="591">
        <v>1151976.04</v>
      </c>
      <c r="E23" s="114">
        <v>2888578.53</v>
      </c>
      <c r="F23" s="114">
        <f>'Avanzamento_ SP_totale'!L24</f>
        <v>2637238.4</v>
      </c>
      <c r="G23" s="64">
        <f t="shared" si="3"/>
        <v>1.1248149110925698</v>
      </c>
      <c r="H23" s="256">
        <f>'Avanzamento_ SP_totale'!O24</f>
        <v>2167468.41</v>
      </c>
      <c r="I23" s="556">
        <v>1040384.84</v>
      </c>
      <c r="J23" s="64">
        <f t="shared" si="0"/>
        <v>0.92445217955650272</v>
      </c>
      <c r="K23" s="605">
        <f>C23-H23</f>
        <v>177129.24246031744</v>
      </c>
      <c r="L23" s="606">
        <f t="shared" si="2"/>
        <v>111591.20000000007</v>
      </c>
    </row>
    <row r="24" spans="1:13" ht="33.75" x14ac:dyDescent="0.25">
      <c r="A24" s="91" t="s">
        <v>147</v>
      </c>
      <c r="B24" s="65" t="s">
        <v>28</v>
      </c>
      <c r="C24" s="594">
        <v>761904.76190476189</v>
      </c>
      <c r="D24" s="591">
        <v>480000</v>
      </c>
      <c r="E24" s="114">
        <v>1108557.9300000002</v>
      </c>
      <c r="F24" s="114">
        <f>'Avanzamento_ SP_totale'!L25</f>
        <v>1108557.9300000002</v>
      </c>
      <c r="G24" s="64">
        <f t="shared" si="3"/>
        <v>1.4549822831250003</v>
      </c>
      <c r="H24" s="256">
        <f>'Avanzamento_ SP_totale'!O25</f>
        <v>130927.22</v>
      </c>
      <c r="I24" s="556">
        <v>82484.149999999994</v>
      </c>
      <c r="J24" s="64">
        <f t="shared" si="0"/>
        <v>0.17184197625</v>
      </c>
      <c r="K24" s="605">
        <f t="shared" si="1"/>
        <v>630977.54190476192</v>
      </c>
      <c r="L24" s="606">
        <f t="shared" si="2"/>
        <v>397515.85</v>
      </c>
    </row>
    <row r="25" spans="1:13" customFormat="1" ht="33.75" x14ac:dyDescent="0.25">
      <c r="A25" s="110" t="s">
        <v>116</v>
      </c>
      <c r="B25" s="111" t="s">
        <v>30</v>
      </c>
      <c r="C25" s="594">
        <v>14967208.558333341</v>
      </c>
      <c r="D25" s="737">
        <v>7290000</v>
      </c>
      <c r="E25" s="602">
        <v>15967539.303690501</v>
      </c>
      <c r="F25" s="602">
        <v>15967539.303690501</v>
      </c>
      <c r="G25" s="64">
        <v>1.0668348237053358</v>
      </c>
      <c r="H25" s="532">
        <v>14397742.554166701</v>
      </c>
      <c r="I25" s="556">
        <v>6931097.1200000001</v>
      </c>
      <c r="J25" s="64">
        <v>0.96195242406443671</v>
      </c>
      <c r="K25" s="605">
        <v>569466.00416659936</v>
      </c>
      <c r="L25" s="606">
        <v>358902.87999999989</v>
      </c>
    </row>
    <row r="26" spans="1:13" ht="33.75" x14ac:dyDescent="0.25">
      <c r="A26" s="91" t="s">
        <v>148</v>
      </c>
      <c r="B26" s="65" t="s">
        <v>31</v>
      </c>
      <c r="C26" s="594">
        <v>7572786.6359126987</v>
      </c>
      <c r="D26" s="591">
        <v>4029000</v>
      </c>
      <c r="E26" s="114">
        <v>10038329.119999999</v>
      </c>
      <c r="F26" s="114">
        <f>'Avanzamento_ SP_totale'!L27</f>
        <v>10252258.540000001</v>
      </c>
      <c r="G26" s="64">
        <f>F26/C26</f>
        <v>1.3538290503762969</v>
      </c>
      <c r="H26" s="256">
        <f>'Avanzamento_ SP_totale'!O27</f>
        <v>7249858.2600000007</v>
      </c>
      <c r="I26" s="556">
        <v>3825555.149999999</v>
      </c>
      <c r="J26" s="64">
        <f t="shared" si="0"/>
        <v>0.95735673122212861</v>
      </c>
      <c r="K26" s="605">
        <f t="shared" si="1"/>
        <v>322928.37591269799</v>
      </c>
      <c r="L26" s="606">
        <f t="shared" si="2"/>
        <v>203444.85000000102</v>
      </c>
    </row>
    <row r="27" spans="1:13" ht="33.75" x14ac:dyDescent="0.25">
      <c r="A27" s="91" t="s">
        <v>149</v>
      </c>
      <c r="B27" s="65" t="s">
        <v>32</v>
      </c>
      <c r="C27" s="594">
        <v>5192447.2849206347</v>
      </c>
      <c r="D27" s="591">
        <v>2513292</v>
      </c>
      <c r="E27" s="114">
        <v>5808858.8900000006</v>
      </c>
      <c r="F27" s="114">
        <f>'Avanzamento_ SP_totale'!L28</f>
        <v>5771092.4400000004</v>
      </c>
      <c r="G27" s="64">
        <f t="shared" si="3"/>
        <v>1.1114397746048972</v>
      </c>
      <c r="H27" s="256">
        <f>'Avanzamento_ SP_totale'!O28</f>
        <v>5192420.5799999991</v>
      </c>
      <c r="I27" s="556">
        <v>2513275.14</v>
      </c>
      <c r="J27" s="64">
        <f t="shared" si="0"/>
        <v>0.99999485696836765</v>
      </c>
      <c r="K27" s="605">
        <f>C27-H27</f>
        <v>26.704920635558665</v>
      </c>
      <c r="L27" s="606">
        <f>D27-I27</f>
        <v>16.859999999869615</v>
      </c>
    </row>
    <row r="28" spans="1:13" ht="22.5" x14ac:dyDescent="0.25">
      <c r="A28" s="110" t="s">
        <v>150</v>
      </c>
      <c r="B28" s="111" t="s">
        <v>34</v>
      </c>
      <c r="C28" s="739">
        <v>305000</v>
      </c>
      <c r="D28" s="739">
        <v>146400</v>
      </c>
      <c r="E28" s="99">
        <v>305000</v>
      </c>
      <c r="F28" s="114">
        <f>'Avanzamento_ SP_totale'!L29</f>
        <v>305000</v>
      </c>
      <c r="G28" s="64">
        <f t="shared" si="3"/>
        <v>1</v>
      </c>
      <c r="H28" s="256">
        <f>'Avanzamento_ SP_totale'!O29</f>
        <v>305000</v>
      </c>
      <c r="I28" s="556">
        <v>146400</v>
      </c>
      <c r="J28" s="64">
        <f t="shared" si="0"/>
        <v>1</v>
      </c>
      <c r="K28" s="605">
        <f t="shared" si="1"/>
        <v>0</v>
      </c>
      <c r="L28" s="606">
        <f t="shared" si="2"/>
        <v>0</v>
      </c>
    </row>
    <row r="29" spans="1:13" customFormat="1" x14ac:dyDescent="0.25">
      <c r="A29" s="809" t="s">
        <v>117</v>
      </c>
      <c r="B29" s="111" t="s">
        <v>36</v>
      </c>
      <c r="C29" s="836">
        <v>210159185.20999998</v>
      </c>
      <c r="D29" s="836">
        <v>101026791.60000001</v>
      </c>
      <c r="E29" s="840">
        <v>212315442.55827594</v>
      </c>
      <c r="F29" s="840">
        <v>212315442.55827594</v>
      </c>
      <c r="G29" s="843">
        <v>1.0102601147131463</v>
      </c>
      <c r="H29" s="830">
        <v>210042783.37166631</v>
      </c>
      <c r="I29" s="767">
        <v>100967833.17839999</v>
      </c>
      <c r="J29" s="833">
        <v>0.99944612538244593</v>
      </c>
      <c r="K29" s="822">
        <v>116401.83833366632</v>
      </c>
      <c r="L29" s="826">
        <v>58958.421600013971</v>
      </c>
    </row>
    <row r="30" spans="1:13" customFormat="1" x14ac:dyDescent="0.25">
      <c r="A30" s="810"/>
      <c r="B30" s="111" t="s">
        <v>37</v>
      </c>
      <c r="C30" s="839"/>
      <c r="D30" s="839"/>
      <c r="E30" s="841"/>
      <c r="F30" s="841"/>
      <c r="G30" s="844" t="e">
        <v>#DIV/0!</v>
      </c>
      <c r="H30" s="831"/>
      <c r="I30" s="772"/>
      <c r="J30" s="833" t="e">
        <v>#DIV/0!</v>
      </c>
      <c r="K30" s="823">
        <v>0</v>
      </c>
      <c r="L30" s="828">
        <v>0</v>
      </c>
    </row>
    <row r="31" spans="1:13" customFormat="1" x14ac:dyDescent="0.25">
      <c r="A31" s="810"/>
      <c r="B31" s="111" t="s">
        <v>38</v>
      </c>
      <c r="C31" s="839"/>
      <c r="D31" s="839"/>
      <c r="E31" s="841"/>
      <c r="F31" s="841"/>
      <c r="G31" s="844" t="e">
        <v>#DIV/0!</v>
      </c>
      <c r="H31" s="831"/>
      <c r="I31" s="772"/>
      <c r="J31" s="833" t="e">
        <v>#DIV/0!</v>
      </c>
      <c r="K31" s="823">
        <v>0</v>
      </c>
      <c r="L31" s="828">
        <v>0</v>
      </c>
      <c r="M31" s="185"/>
    </row>
    <row r="32" spans="1:13" customFormat="1" ht="33.75" x14ac:dyDescent="0.25">
      <c r="A32" s="810"/>
      <c r="B32" s="111" t="s">
        <v>41</v>
      </c>
      <c r="C32" s="839"/>
      <c r="D32" s="839"/>
      <c r="E32" s="841"/>
      <c r="F32" s="841"/>
      <c r="G32" s="844" t="e">
        <v>#DIV/0!</v>
      </c>
      <c r="H32" s="831"/>
      <c r="I32" s="772"/>
      <c r="J32" s="833" t="e">
        <v>#DIV/0!</v>
      </c>
      <c r="K32" s="823">
        <v>0</v>
      </c>
      <c r="L32" s="828">
        <v>0</v>
      </c>
      <c r="M32" s="305"/>
    </row>
    <row r="33" spans="1:12" customFormat="1" ht="22.5" x14ac:dyDescent="0.25">
      <c r="A33" s="811"/>
      <c r="B33" s="111" t="s">
        <v>39</v>
      </c>
      <c r="C33" s="837"/>
      <c r="D33" s="837"/>
      <c r="E33" s="842"/>
      <c r="F33" s="842"/>
      <c r="G33" s="845" t="e">
        <v>#DIV/0!</v>
      </c>
      <c r="H33" s="832"/>
      <c r="I33" s="768"/>
      <c r="J33" s="833" t="e">
        <v>#DIV/0!</v>
      </c>
      <c r="K33" s="824">
        <v>0</v>
      </c>
      <c r="L33" s="827">
        <v>0</v>
      </c>
    </row>
    <row r="34" spans="1:12" ht="33.75" x14ac:dyDescent="0.25">
      <c r="A34" s="91" t="s">
        <v>118</v>
      </c>
      <c r="B34" s="65" t="s">
        <v>42</v>
      </c>
      <c r="C34" s="737">
        <v>0</v>
      </c>
      <c r="D34" s="737"/>
      <c r="E34" s="157">
        <v>0</v>
      </c>
      <c r="F34" s="114">
        <f>'Avanzamento_ SP_totale'!L35</f>
        <v>0</v>
      </c>
      <c r="G34" s="378">
        <v>0</v>
      </c>
      <c r="H34" s="256">
        <f>'Avanzamento_ SP_totale'!O35</f>
        <v>0</v>
      </c>
      <c r="I34" s="556">
        <v>0</v>
      </c>
      <c r="J34" s="338">
        <v>0</v>
      </c>
      <c r="K34" s="605">
        <f t="shared" si="1"/>
        <v>0</v>
      </c>
      <c r="L34" s="606">
        <f t="shared" si="2"/>
        <v>0</v>
      </c>
    </row>
    <row r="35" spans="1:12" ht="22.5" x14ac:dyDescent="0.25">
      <c r="A35" s="110" t="s">
        <v>45</v>
      </c>
      <c r="B35" s="111" t="s">
        <v>43</v>
      </c>
      <c r="C35" s="836">
        <v>95737662.900000006</v>
      </c>
      <c r="D35" s="836">
        <v>45951759</v>
      </c>
      <c r="E35" s="836">
        <v>97047954.128000006</v>
      </c>
      <c r="F35" s="836">
        <v>97047954.128000006</v>
      </c>
      <c r="G35" s="769">
        <v>1.013686267121108</v>
      </c>
      <c r="H35" s="767">
        <v>95664735.766666695</v>
      </c>
      <c r="I35" s="767">
        <v>45955631.520000003</v>
      </c>
      <c r="J35" s="833">
        <v>0.99923826077298872</v>
      </c>
      <c r="K35" s="820">
        <v>72927.133333310485</v>
      </c>
      <c r="L35" s="826">
        <v>-3872.5200000032783</v>
      </c>
    </row>
    <row r="36" spans="1:12" ht="22.5" x14ac:dyDescent="0.25">
      <c r="A36" s="110" t="s">
        <v>119</v>
      </c>
      <c r="B36" s="111" t="s">
        <v>44</v>
      </c>
      <c r="C36" s="837"/>
      <c r="D36" s="837"/>
      <c r="E36" s="837"/>
      <c r="F36" s="837"/>
      <c r="G36" s="771">
        <v>0</v>
      </c>
      <c r="H36" s="768"/>
      <c r="I36" s="768"/>
      <c r="J36" s="833">
        <v>0</v>
      </c>
      <c r="K36" s="821">
        <v>0</v>
      </c>
      <c r="L36" s="827">
        <v>0</v>
      </c>
    </row>
    <row r="37" spans="1:12" ht="22.5" x14ac:dyDescent="0.25">
      <c r="A37" s="110" t="s">
        <v>112</v>
      </c>
      <c r="B37" s="111" t="s">
        <v>120</v>
      </c>
      <c r="C37" s="834">
        <v>375327634.50833303</v>
      </c>
      <c r="D37" s="834">
        <v>188428123.21000001</v>
      </c>
      <c r="E37" s="761">
        <v>392387217.80097413</v>
      </c>
      <c r="F37" s="761">
        <v>383026339.48097414</v>
      </c>
      <c r="G37" s="769">
        <v>1.020511958792286</v>
      </c>
      <c r="H37" s="767">
        <v>347883435.32583302</v>
      </c>
      <c r="I37" s="767">
        <v>167853313.72999999</v>
      </c>
      <c r="J37" s="833">
        <v>0.92687935377193575</v>
      </c>
      <c r="K37" s="820">
        <v>27444199.182500005</v>
      </c>
      <c r="L37" s="826">
        <v>20574809.480000019</v>
      </c>
    </row>
    <row r="38" spans="1:12" ht="22.5" x14ac:dyDescent="0.25">
      <c r="A38" s="110" t="s">
        <v>113</v>
      </c>
      <c r="B38" s="111" t="s">
        <v>121</v>
      </c>
      <c r="C38" s="835"/>
      <c r="D38" s="835"/>
      <c r="E38" s="763"/>
      <c r="F38" s="763"/>
      <c r="G38" s="771" t="e">
        <v>#DIV/0!</v>
      </c>
      <c r="H38" s="768"/>
      <c r="I38" s="768"/>
      <c r="J38" s="833" t="e">
        <v>#DIV/0!</v>
      </c>
      <c r="K38" s="821">
        <v>0</v>
      </c>
      <c r="L38" s="827">
        <v>0</v>
      </c>
    </row>
    <row r="39" spans="1:12" ht="33.75" x14ac:dyDescent="0.25">
      <c r="A39" s="782" t="s">
        <v>122</v>
      </c>
      <c r="B39" s="111" t="s">
        <v>123</v>
      </c>
      <c r="C39" s="846">
        <v>347707334.59100801</v>
      </c>
      <c r="D39" s="849">
        <v>170839893.00171</v>
      </c>
      <c r="E39" s="761">
        <v>346005197.30199939</v>
      </c>
      <c r="F39" s="761">
        <v>346005197.30199939</v>
      </c>
      <c r="G39" s="769">
        <v>0.99510468396931928</v>
      </c>
      <c r="H39" s="767">
        <v>321436301.24666703</v>
      </c>
      <c r="I39" s="767">
        <v>154300077.06999999</v>
      </c>
      <c r="J39" s="833">
        <v>0.92444498366638606</v>
      </c>
      <c r="K39" s="820">
        <v>26271033.34434098</v>
      </c>
      <c r="L39" s="826">
        <v>16539815.931710005</v>
      </c>
    </row>
    <row r="40" spans="1:12" ht="22.5" x14ac:dyDescent="0.25">
      <c r="A40" s="783"/>
      <c r="B40" s="111" t="s">
        <v>124</v>
      </c>
      <c r="C40" s="847"/>
      <c r="D40" s="850"/>
      <c r="E40" s="762"/>
      <c r="F40" s="762"/>
      <c r="G40" s="770" t="e">
        <v>#DIV/0!</v>
      </c>
      <c r="H40" s="772"/>
      <c r="I40" s="772"/>
      <c r="J40" s="833" t="e">
        <v>#DIV/0!</v>
      </c>
      <c r="K40" s="825">
        <v>0</v>
      </c>
      <c r="L40" s="828">
        <v>0</v>
      </c>
    </row>
    <row r="41" spans="1:12" ht="33.75" x14ac:dyDescent="0.25">
      <c r="A41" s="783"/>
      <c r="B41" s="111" t="s">
        <v>125</v>
      </c>
      <c r="C41" s="847"/>
      <c r="D41" s="850"/>
      <c r="E41" s="762"/>
      <c r="F41" s="762"/>
      <c r="G41" s="770" t="e">
        <v>#DIV/0!</v>
      </c>
      <c r="H41" s="772"/>
      <c r="I41" s="772"/>
      <c r="J41" s="833" t="e">
        <v>#DIV/0!</v>
      </c>
      <c r="K41" s="825">
        <v>0</v>
      </c>
      <c r="L41" s="828">
        <v>0</v>
      </c>
    </row>
    <row r="42" spans="1:12" ht="22.5" x14ac:dyDescent="0.25">
      <c r="A42" s="784"/>
      <c r="B42" s="111" t="s">
        <v>126</v>
      </c>
      <c r="C42" s="848"/>
      <c r="D42" s="851"/>
      <c r="E42" s="763"/>
      <c r="F42" s="763"/>
      <c r="G42" s="771" t="e">
        <v>#DIV/0!</v>
      </c>
      <c r="H42" s="768"/>
      <c r="I42" s="768"/>
      <c r="J42" s="833" t="e">
        <v>#DIV/0!</v>
      </c>
      <c r="K42" s="821">
        <v>0</v>
      </c>
      <c r="L42" s="827">
        <v>0</v>
      </c>
    </row>
    <row r="43" spans="1:12" ht="22.5" x14ac:dyDescent="0.25">
      <c r="A43" s="110" t="s">
        <v>127</v>
      </c>
      <c r="B43" s="111" t="s">
        <v>52</v>
      </c>
      <c r="C43" s="739">
        <v>4982260.63416667</v>
      </c>
      <c r="D43" s="739">
        <v>2488730</v>
      </c>
      <c r="E43" s="533">
        <v>5374580.8100000005</v>
      </c>
      <c r="F43" s="275">
        <v>5374580.8100000005</v>
      </c>
      <c r="G43" s="64">
        <v>1.0787434067866564</v>
      </c>
      <c r="H43" s="555">
        <v>4866424.3766666697</v>
      </c>
      <c r="I43" s="555">
        <v>2401852.86</v>
      </c>
      <c r="J43" s="64">
        <v>0.97675026137620458</v>
      </c>
      <c r="K43" s="605">
        <v>115836.2575000003</v>
      </c>
      <c r="L43" s="607">
        <v>86877.14000000013</v>
      </c>
    </row>
    <row r="44" spans="1:12" ht="22.5" x14ac:dyDescent="0.25">
      <c r="A44" s="90" t="s">
        <v>53</v>
      </c>
      <c r="B44" s="65" t="s">
        <v>54</v>
      </c>
      <c r="C44" s="739">
        <v>6284036.8866666667</v>
      </c>
      <c r="D44" s="739">
        <v>5270400</v>
      </c>
      <c r="E44" s="114">
        <v>10842809.42</v>
      </c>
      <c r="F44" s="114">
        <f>'Avanzamento_ SP_totale'!L45</f>
        <v>10291886.17</v>
      </c>
      <c r="G44" s="64">
        <f t="shared" ref="G44:G51" si="4">F44/C44</f>
        <v>1.6377825839687703</v>
      </c>
      <c r="H44" s="269">
        <f>'Avanzamento_ SP_totale'!O45</f>
        <v>2663970.7400000002</v>
      </c>
      <c r="I44" s="556">
        <v>2012340.48</v>
      </c>
      <c r="J44" s="64">
        <f t="shared" ref="J44:J51" si="5">H44/C44</f>
        <v>0.4239266554358323</v>
      </c>
      <c r="K44" s="605">
        <f t="shared" si="1"/>
        <v>3620066.1466666665</v>
      </c>
      <c r="L44" s="606">
        <f t="shared" si="2"/>
        <v>3258059.52</v>
      </c>
    </row>
    <row r="45" spans="1:12" ht="22.5" x14ac:dyDescent="0.25">
      <c r="A45" s="90" t="s">
        <v>55</v>
      </c>
      <c r="B45" s="65" t="s">
        <v>56</v>
      </c>
      <c r="C45" s="739">
        <v>5881571.5269999998</v>
      </c>
      <c r="D45" s="739">
        <v>3201600</v>
      </c>
      <c r="E45" s="99">
        <v>6670000</v>
      </c>
      <c r="F45" s="114">
        <f>'Avanzamento_ SP_totale'!L46</f>
        <v>6094538.1799999997</v>
      </c>
      <c r="G45" s="64">
        <f t="shared" si="4"/>
        <v>1.0362091410471423</v>
      </c>
      <c r="H45" s="269">
        <f>'Avanzamento_ SP_totale'!O46</f>
        <v>5309861.8200000012</v>
      </c>
      <c r="I45" s="556">
        <v>2687061.2900000005</v>
      </c>
      <c r="J45" s="64">
        <f t="shared" si="5"/>
        <v>0.90279643724887093</v>
      </c>
      <c r="K45" s="605">
        <f t="shared" si="1"/>
        <v>571709.70699999854</v>
      </c>
      <c r="L45" s="606">
        <f t="shared" si="2"/>
        <v>514538.7099999995</v>
      </c>
    </row>
    <row r="46" spans="1:12" x14ac:dyDescent="0.25">
      <c r="A46" s="90" t="s">
        <v>151</v>
      </c>
      <c r="B46" s="65" t="s">
        <v>58</v>
      </c>
      <c r="C46" s="739">
        <v>1856652.3654444444</v>
      </c>
      <c r="D46" s="739">
        <v>1449600</v>
      </c>
      <c r="E46" s="114">
        <v>3020000</v>
      </c>
      <c r="F46" s="114">
        <f>'Avanzamento_ SP_totale'!L47</f>
        <v>2206377.7599999998</v>
      </c>
      <c r="G46" s="64">
        <f t="shared" si="4"/>
        <v>1.1883634228273199</v>
      </c>
      <c r="H46" s="269">
        <f>'Avanzamento_ SP_totale'!O47</f>
        <v>1150690.24</v>
      </c>
      <c r="I46" s="556">
        <v>814234.08</v>
      </c>
      <c r="J46" s="64">
        <f t="shared" si="5"/>
        <v>0.61976612392086039</v>
      </c>
      <c r="K46" s="605">
        <f t="shared" si="1"/>
        <v>705962.12544444436</v>
      </c>
      <c r="L46" s="606">
        <f t="shared" si="2"/>
        <v>635365.92000000004</v>
      </c>
    </row>
    <row r="47" spans="1:12" ht="22.5" x14ac:dyDescent="0.25">
      <c r="A47" s="90" t="s">
        <v>59</v>
      </c>
      <c r="B47" s="65" t="s">
        <v>60</v>
      </c>
      <c r="C47" s="739">
        <v>1002666.6666666666</v>
      </c>
      <c r="D47" s="739">
        <v>902400</v>
      </c>
      <c r="E47" s="114">
        <v>1880000</v>
      </c>
      <c r="F47" s="114">
        <f>'Avanzamento_ SP_totale'!L48</f>
        <v>568352.41</v>
      </c>
      <c r="G47" s="64">
        <f t="shared" si="4"/>
        <v>0.56684083444148936</v>
      </c>
      <c r="H47" s="269">
        <f>'Avanzamento_ SP_totale'!O48</f>
        <v>0</v>
      </c>
      <c r="I47" s="556">
        <f>'Avanzamento_ SP_totale'!R48</f>
        <v>0</v>
      </c>
      <c r="J47" s="64">
        <f t="shared" si="5"/>
        <v>0</v>
      </c>
      <c r="K47" s="605">
        <f t="shared" si="1"/>
        <v>1002666.6666666666</v>
      </c>
      <c r="L47" s="606">
        <f t="shared" si="2"/>
        <v>902400</v>
      </c>
    </row>
    <row r="48" spans="1:12" ht="22.5" x14ac:dyDescent="0.25">
      <c r="A48" s="90" t="s">
        <v>61</v>
      </c>
      <c r="B48" s="65" t="s">
        <v>62</v>
      </c>
      <c r="C48" s="739">
        <v>178467.19999999998</v>
      </c>
      <c r="D48" s="739">
        <v>160620.47999999998</v>
      </c>
      <c r="E48" s="99">
        <v>334626</v>
      </c>
      <c r="F48" s="114">
        <f>'Avanzamento_ SP_totale'!L49</f>
        <v>64253</v>
      </c>
      <c r="G48" s="64">
        <f t="shared" si="4"/>
        <v>0.36002694052464546</v>
      </c>
      <c r="H48" s="269">
        <f>'Avanzamento_ SP_totale'!O49</f>
        <v>0</v>
      </c>
      <c r="I48" s="556">
        <f>'Avanzamento_ SP_totale'!R49</f>
        <v>0</v>
      </c>
      <c r="J48" s="64">
        <f t="shared" si="5"/>
        <v>0</v>
      </c>
      <c r="K48" s="605">
        <f t="shared" si="1"/>
        <v>178467.19999999998</v>
      </c>
      <c r="L48" s="606">
        <f t="shared" si="2"/>
        <v>160620.47999999998</v>
      </c>
    </row>
    <row r="49" spans="1:14" x14ac:dyDescent="0.25">
      <c r="A49" s="90" t="s">
        <v>63</v>
      </c>
      <c r="B49" s="65" t="s">
        <v>64</v>
      </c>
      <c r="C49" s="739">
        <v>264570.29133333336</v>
      </c>
      <c r="D49" s="739">
        <v>199535.00159999999</v>
      </c>
      <c r="E49" s="99">
        <v>415698</v>
      </c>
      <c r="F49" s="114">
        <f>'Avanzamento_ SP_totale'!L50</f>
        <v>477759.64999999997</v>
      </c>
      <c r="G49" s="64">
        <f t="shared" si="4"/>
        <v>1.8057947760962636</v>
      </c>
      <c r="H49" s="269">
        <f>'Avanzamento_ SP_totale'!O50</f>
        <v>91852.83</v>
      </c>
      <c r="I49" s="556">
        <v>44089.36</v>
      </c>
      <c r="J49" s="64">
        <f t="shared" si="5"/>
        <v>0.34717741563913612</v>
      </c>
      <c r="K49" s="605">
        <f t="shared" si="1"/>
        <v>172717.46133333334</v>
      </c>
      <c r="L49" s="606">
        <f t="shared" si="2"/>
        <v>155445.64159999997</v>
      </c>
    </row>
    <row r="50" spans="1:14" x14ac:dyDescent="0.25">
      <c r="A50" s="90" t="s">
        <v>65</v>
      </c>
      <c r="B50" s="65" t="s">
        <v>66</v>
      </c>
      <c r="C50" s="740">
        <v>606791.91449999996</v>
      </c>
      <c r="D50" s="740">
        <v>288000</v>
      </c>
      <c r="E50" s="114">
        <v>600000</v>
      </c>
      <c r="F50" s="114">
        <f>'Avanzamento_ SP_totale'!L51</f>
        <v>725817</v>
      </c>
      <c r="G50" s="64">
        <f t="shared" si="4"/>
        <v>1.1961546992564616</v>
      </c>
      <c r="H50" s="269">
        <f>'Avanzamento_ SP_totale'!O51</f>
        <v>727454.03999999992</v>
      </c>
      <c r="I50" s="556">
        <v>369190.95</v>
      </c>
      <c r="J50" s="64">
        <f t="shared" si="5"/>
        <v>1.1988525598588871</v>
      </c>
      <c r="K50" s="605">
        <f t="shared" si="1"/>
        <v>-120662.12549999997</v>
      </c>
      <c r="L50" s="606">
        <f t="shared" si="2"/>
        <v>-81190.950000000012</v>
      </c>
    </row>
    <row r="51" spans="1:14" ht="22.5" x14ac:dyDescent="0.25">
      <c r="A51" s="786" t="s">
        <v>67</v>
      </c>
      <c r="B51" s="65" t="s">
        <v>152</v>
      </c>
      <c r="C51" s="757">
        <v>55628503.496888891</v>
      </c>
      <c r="D51" s="846">
        <v>38442536.001599997</v>
      </c>
      <c r="E51" s="852">
        <v>77588615</v>
      </c>
      <c r="F51" s="852" cm="1">
        <f t="array" ref="F51:F52">'Avanzamento_ SP_totale'!L52:L53</f>
        <v>84234609.659999996</v>
      </c>
      <c r="G51" s="833">
        <f t="shared" si="4"/>
        <v>1.5142346884221134</v>
      </c>
      <c r="H51" s="779" cm="1">
        <f t="array" ref="H51:H52">'Avanzamento_ SP_totale'!O52:O53</f>
        <v>37172371.380000003</v>
      </c>
      <c r="I51" s="767">
        <v>21841314.34</v>
      </c>
      <c r="J51" s="833">
        <f t="shared" si="5"/>
        <v>0.6682252630088984</v>
      </c>
      <c r="K51" s="820">
        <f t="shared" si="1"/>
        <v>18456132.116888888</v>
      </c>
      <c r="L51" s="826">
        <f t="shared" si="2"/>
        <v>16601221.661599997</v>
      </c>
    </row>
    <row r="52" spans="1:14" x14ac:dyDescent="0.25">
      <c r="A52" s="787"/>
      <c r="B52" s="65" t="s">
        <v>153</v>
      </c>
      <c r="C52" s="759"/>
      <c r="D52" s="848"/>
      <c r="E52" s="853"/>
      <c r="F52" s="853">
        <v>0</v>
      </c>
      <c r="G52" s="833"/>
      <c r="H52" s="780">
        <v>0</v>
      </c>
      <c r="I52" s="768"/>
      <c r="J52" s="833"/>
      <c r="K52" s="821"/>
      <c r="L52" s="827">
        <f t="shared" si="2"/>
        <v>0</v>
      </c>
    </row>
    <row r="53" spans="1:14" ht="33.75" x14ac:dyDescent="0.25">
      <c r="A53" s="90" t="s">
        <v>414</v>
      </c>
      <c r="B53" s="65" t="s">
        <v>70</v>
      </c>
      <c r="C53" s="601">
        <v>1595307.3188333332</v>
      </c>
      <c r="D53" s="637">
        <v>960000</v>
      </c>
      <c r="E53" s="114">
        <v>2500001</v>
      </c>
      <c r="F53" s="114">
        <f>'Avanzamento_ SP_totale'!L54</f>
        <v>2751894.5</v>
      </c>
      <c r="G53" s="64">
        <f t="shared" ref="G53:G58" si="6">F53/C53</f>
        <v>1.7249933398490847</v>
      </c>
      <c r="H53" s="241">
        <f>'Avanzamento_ SP_totale'!O54</f>
        <v>1317875.6799999997</v>
      </c>
      <c r="I53" s="556">
        <v>710311.53</v>
      </c>
      <c r="J53" s="64">
        <f t="shared" ref="J53:J57" si="7">H53/C53</f>
        <v>0.82609517579583192</v>
      </c>
      <c r="K53" s="605">
        <f t="shared" si="1"/>
        <v>277431.63883333351</v>
      </c>
      <c r="L53" s="606">
        <f t="shared" si="2"/>
        <v>249688.46999999997</v>
      </c>
    </row>
    <row r="54" spans="1:14" ht="22.5" x14ac:dyDescent="0.25">
      <c r="A54" s="90" t="s">
        <v>415</v>
      </c>
      <c r="B54" s="65" t="s">
        <v>72</v>
      </c>
      <c r="C54" s="595">
        <v>10359586.494555555</v>
      </c>
      <c r="D54" s="591">
        <v>4800000</v>
      </c>
      <c r="E54" s="114">
        <v>12000000</v>
      </c>
      <c r="F54" s="114">
        <f>'Avanzamento_ SP_totale'!L55</f>
        <v>17102053.770000003</v>
      </c>
      <c r="G54" s="64">
        <f t="shared" si="6"/>
        <v>1.6508432821124597</v>
      </c>
      <c r="H54" s="241">
        <f>'Avanzamento_ SP_totale'!O55</f>
        <v>11929607.27</v>
      </c>
      <c r="I54" s="556">
        <v>6213018.7499999972</v>
      </c>
      <c r="J54" s="64">
        <f t="shared" si="7"/>
        <v>1.151552455908309</v>
      </c>
      <c r="K54" s="605">
        <f>C54-H54</f>
        <v>-1570020.7754444443</v>
      </c>
      <c r="L54" s="606">
        <f t="shared" si="2"/>
        <v>-1413018.7499999972</v>
      </c>
    </row>
    <row r="55" spans="1:14" ht="22.5" x14ac:dyDescent="0.25">
      <c r="A55" s="66" t="s">
        <v>470</v>
      </c>
      <c r="B55" s="67" t="s">
        <v>154</v>
      </c>
      <c r="C55" s="591">
        <v>9506079.9199999999</v>
      </c>
      <c r="D55" s="591">
        <v>5748491</v>
      </c>
      <c r="E55" s="114">
        <v>11976022.92</v>
      </c>
      <c r="F55" s="114">
        <f>'Avanzamento_ SP_totale'!L56</f>
        <v>9908010.5899999999</v>
      </c>
      <c r="G55" s="64">
        <f t="shared" si="6"/>
        <v>1.0422814318186375</v>
      </c>
      <c r="H55" s="241">
        <f>'Avanzamento_ SP_totale'!O56</f>
        <v>1602262.76</v>
      </c>
      <c r="I55" s="556">
        <v>769086.13</v>
      </c>
      <c r="J55" s="64">
        <f t="shared" si="7"/>
        <v>0.16855136643959542</v>
      </c>
      <c r="K55" s="605">
        <f>C55-H55</f>
        <v>7903817.1600000001</v>
      </c>
      <c r="L55" s="606">
        <f t="shared" si="2"/>
        <v>4979404.87</v>
      </c>
    </row>
    <row r="56" spans="1:14" ht="33.75" x14ac:dyDescent="0.25">
      <c r="A56" s="66" t="s">
        <v>315</v>
      </c>
      <c r="B56" s="67" t="s">
        <v>384</v>
      </c>
      <c r="C56" s="591">
        <v>1998000</v>
      </c>
      <c r="D56" s="591">
        <v>959040</v>
      </c>
      <c r="E56" s="114">
        <v>1998000</v>
      </c>
      <c r="F56" s="114">
        <f>'Avanzamento_ SP_totale'!L57-'AVANZAMENTO TOP UP'!E15</f>
        <v>1998000</v>
      </c>
      <c r="G56" s="64">
        <f>F56/C56</f>
        <v>1</v>
      </c>
      <c r="H56" s="241">
        <f>'Avanzamento_ SP_totale'!O57-'AVANZAMENTO TOP UP'!G15</f>
        <v>1997999.9900000002</v>
      </c>
      <c r="I56" s="556">
        <v>959040</v>
      </c>
      <c r="J56" s="64">
        <f t="shared" si="7"/>
        <v>0.99999999499499514</v>
      </c>
      <c r="K56" s="605">
        <f t="shared" si="1"/>
        <v>9.9999997764825821E-3</v>
      </c>
      <c r="L56" s="606">
        <f t="shared" si="2"/>
        <v>0</v>
      </c>
    </row>
    <row r="57" spans="1:14" x14ac:dyDescent="0.25">
      <c r="A57" s="785" t="s">
        <v>114</v>
      </c>
      <c r="B57" s="785"/>
      <c r="C57" s="591">
        <v>16200.169999999995</v>
      </c>
      <c r="D57" s="591">
        <v>7776.12</v>
      </c>
      <c r="E57" s="114">
        <f>'Avanzamento_ SP_totale'!K58</f>
        <v>16200.169999999995</v>
      </c>
      <c r="F57" s="114">
        <f>'Avanzamento_ SP_totale'!L58</f>
        <v>16200.169999999995</v>
      </c>
      <c r="G57" s="64">
        <f t="shared" si="6"/>
        <v>1</v>
      </c>
      <c r="H57" s="241">
        <f>'Avanzamento_ SP_totale'!O58</f>
        <v>16200.169999999995</v>
      </c>
      <c r="I57" s="556">
        <v>7776.1199999999972</v>
      </c>
      <c r="J57" s="64">
        <f t="shared" si="7"/>
        <v>1</v>
      </c>
      <c r="K57" s="605">
        <f t="shared" si="1"/>
        <v>0</v>
      </c>
      <c r="L57" s="606">
        <f t="shared" si="2"/>
        <v>0</v>
      </c>
    </row>
    <row r="58" spans="1:14" s="205" customFormat="1" ht="17.25" customHeight="1" x14ac:dyDescent="0.2">
      <c r="A58" s="149" t="s">
        <v>128</v>
      </c>
      <c r="B58" s="150"/>
      <c r="C58" s="53">
        <f>SUM(C5:C57)</f>
        <v>1584519397.0800796</v>
      </c>
      <c r="D58" s="53">
        <f>SUM(D5:D57)</f>
        <v>800189491.44731009</v>
      </c>
      <c r="E58" s="53">
        <f>SUM(E5:E57)</f>
        <v>1728339485.7929399</v>
      </c>
      <c r="F58" s="53">
        <f>SUM(F5:F57)</f>
        <v>1727663784.0729403</v>
      </c>
      <c r="G58" s="54">
        <f t="shared" si="6"/>
        <v>1.0903393087245536</v>
      </c>
      <c r="H58" s="52">
        <f>SUM(H5:H57)</f>
        <v>1467905298.6816661</v>
      </c>
      <c r="I58" s="52">
        <f>SUM(I5:I57)</f>
        <v>715781818.08960009</v>
      </c>
      <c r="J58" s="54">
        <f>H58/C58</f>
        <v>0.92640412063537525</v>
      </c>
      <c r="K58" s="608">
        <f>SUM(K5:K57)</f>
        <v>116614098.39841276</v>
      </c>
      <c r="L58" s="608">
        <f>SUM(L5:L57)</f>
        <v>84407673.357710019</v>
      </c>
    </row>
    <row r="59" spans="1:14" s="201" customFormat="1" ht="51" customHeight="1" x14ac:dyDescent="0.2">
      <c r="A59" s="806" t="s">
        <v>689</v>
      </c>
      <c r="B59" s="806"/>
      <c r="C59" s="806"/>
      <c r="D59" s="806"/>
      <c r="E59" s="806"/>
      <c r="F59" s="806"/>
      <c r="G59" s="806"/>
      <c r="H59" s="806"/>
      <c r="I59" s="806"/>
      <c r="J59" s="806"/>
      <c r="K59" s="568"/>
      <c r="M59" s="205"/>
      <c r="N59" s="205"/>
    </row>
    <row r="60" spans="1:14" ht="43.9" customHeight="1" x14ac:dyDescent="0.25">
      <c r="A60" s="808" t="s">
        <v>745</v>
      </c>
      <c r="B60" s="808"/>
      <c r="C60" s="808"/>
      <c r="D60" s="808"/>
      <c r="E60" s="808"/>
      <c r="F60" s="808"/>
      <c r="G60" s="808"/>
      <c r="H60" s="808"/>
      <c r="I60" s="808"/>
      <c r="J60" s="808"/>
      <c r="K60" s="575"/>
    </row>
    <row r="61" spans="1:14" ht="26.45" customHeight="1" x14ac:dyDescent="0.25">
      <c r="A61" s="781" t="s">
        <v>742</v>
      </c>
      <c r="B61" s="781"/>
      <c r="C61" s="781"/>
      <c r="D61" s="781"/>
      <c r="E61" s="781"/>
      <c r="F61" s="781"/>
      <c r="G61" s="781"/>
      <c r="H61" s="781"/>
      <c r="I61" s="781"/>
      <c r="J61" s="781"/>
      <c r="K61" s="568"/>
    </row>
    <row r="62" spans="1:14" x14ac:dyDescent="0.25">
      <c r="D62" s="89"/>
      <c r="E62" s="89"/>
      <c r="F62" s="89"/>
    </row>
    <row r="63" spans="1:14" x14ac:dyDescent="0.25">
      <c r="D63" s="89"/>
      <c r="E63" s="89"/>
      <c r="F63" s="89"/>
    </row>
    <row r="64" spans="1:14" ht="28.5" customHeight="1" x14ac:dyDescent="0.25">
      <c r="A64" s="829"/>
      <c r="B64" s="829"/>
      <c r="C64" s="829"/>
      <c r="D64" s="829"/>
      <c r="E64" s="829"/>
      <c r="F64" s="829"/>
      <c r="G64" s="829"/>
      <c r="H64" s="829"/>
      <c r="I64" s="829"/>
      <c r="J64" s="829"/>
      <c r="K64" s="202"/>
    </row>
    <row r="65" spans="1:11" ht="28.5" customHeight="1" x14ac:dyDescent="0.25">
      <c r="A65" s="829"/>
      <c r="B65" s="829"/>
      <c r="C65" s="829"/>
      <c r="D65" s="829"/>
      <c r="E65" s="829"/>
      <c r="F65" s="829"/>
      <c r="G65" s="829"/>
      <c r="H65" s="829"/>
      <c r="I65" s="829"/>
      <c r="J65" s="829"/>
      <c r="K65" s="202"/>
    </row>
  </sheetData>
  <mergeCells count="68">
    <mergeCell ref="A60:J60"/>
    <mergeCell ref="A61:J61"/>
    <mergeCell ref="A51:A52"/>
    <mergeCell ref="C51:C52"/>
    <mergeCell ref="D51:D52"/>
    <mergeCell ref="E51:E52"/>
    <mergeCell ref="F51:F52"/>
    <mergeCell ref="G51:G52"/>
    <mergeCell ref="H51:H52"/>
    <mergeCell ref="J51:J52"/>
    <mergeCell ref="I51:I52"/>
    <mergeCell ref="A57:B57"/>
    <mergeCell ref="A59:J59"/>
    <mergeCell ref="A39:A42"/>
    <mergeCell ref="C39:C42"/>
    <mergeCell ref="D39:D42"/>
    <mergeCell ref="E39:E42"/>
    <mergeCell ref="F39:F42"/>
    <mergeCell ref="H35:H36"/>
    <mergeCell ref="J37:J38"/>
    <mergeCell ref="C35:C36"/>
    <mergeCell ref="D35:D36"/>
    <mergeCell ref="G39:G42"/>
    <mergeCell ref="H39:H42"/>
    <mergeCell ref="J39:J42"/>
    <mergeCell ref="A65:J65"/>
    <mergeCell ref="A1:J1"/>
    <mergeCell ref="A2:A4"/>
    <mergeCell ref="B2:B4"/>
    <mergeCell ref="C2:D2"/>
    <mergeCell ref="F2:G2"/>
    <mergeCell ref="H2:J2"/>
    <mergeCell ref="J29:J33"/>
    <mergeCell ref="A11:A12"/>
    <mergeCell ref="A17:A18"/>
    <mergeCell ref="A29:A33"/>
    <mergeCell ref="C29:C33"/>
    <mergeCell ref="D29:D33"/>
    <mergeCell ref="E29:E33"/>
    <mergeCell ref="G29:G33"/>
    <mergeCell ref="F29:F33"/>
    <mergeCell ref="I29:I33"/>
    <mergeCell ref="I35:I36"/>
    <mergeCell ref="I37:I38"/>
    <mergeCell ref="I39:I42"/>
    <mergeCell ref="A64:J64"/>
    <mergeCell ref="H29:H33"/>
    <mergeCell ref="J35:J36"/>
    <mergeCell ref="C37:C38"/>
    <mergeCell ref="D37:D38"/>
    <mergeCell ref="E37:E38"/>
    <mergeCell ref="F37:F38"/>
    <mergeCell ref="G37:G38"/>
    <mergeCell ref="H37:H38"/>
    <mergeCell ref="E35:E36"/>
    <mergeCell ref="F35:F36"/>
    <mergeCell ref="G35:G36"/>
    <mergeCell ref="K51:K52"/>
    <mergeCell ref="K2:L2"/>
    <mergeCell ref="K29:K33"/>
    <mergeCell ref="K35:K36"/>
    <mergeCell ref="K37:K38"/>
    <mergeCell ref="K39:K42"/>
    <mergeCell ref="L51:L52"/>
    <mergeCell ref="L29:L33"/>
    <mergeCell ref="L35:L36"/>
    <mergeCell ref="L37:L38"/>
    <mergeCell ref="L39:L42"/>
  </mergeCells>
  <printOptions horizontalCentered="1" verticalCentered="1"/>
  <pageMargins left="0.25" right="0.25" top="0.75" bottom="0.75" header="0.3" footer="0.3"/>
  <pageSetup paperSize="9" scale="87" fitToHeight="0" orientation="landscape" r:id="rId1"/>
  <rowBreaks count="3" manualBreakCount="3">
    <brk id="18" max="10" man="1"/>
    <brk id="33" max="10" man="1"/>
    <brk id="49" max="1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A10"/>
  <sheetViews>
    <sheetView view="pageBreakPreview" zoomScaleNormal="100" zoomScaleSheetLayoutView="100" workbookViewId="0">
      <selection activeCell="J13" sqref="J13"/>
    </sheetView>
  </sheetViews>
  <sheetFormatPr defaultColWidth="8.7109375" defaultRowHeight="15" x14ac:dyDescent="0.25"/>
  <cols>
    <col min="1" max="1" width="19.28515625" customWidth="1"/>
    <col min="2" max="2" width="7.42578125" customWidth="1"/>
    <col min="3" max="3" width="8.28515625" customWidth="1"/>
    <col min="4" max="4" width="8.85546875" bestFit="1" customWidth="1"/>
    <col min="5" max="5" width="3.85546875" customWidth="1"/>
    <col min="6" max="6" width="8.7109375" bestFit="1" customWidth="1"/>
    <col min="7" max="7" width="3.28515625" bestFit="1" customWidth="1"/>
    <col min="8" max="8" width="6.5703125" customWidth="1"/>
    <col min="9" max="9" width="3.5703125" bestFit="1" customWidth="1"/>
    <col min="10" max="10" width="8.7109375" bestFit="1" customWidth="1"/>
    <col min="11" max="11" width="3.85546875" customWidth="1"/>
    <col min="12" max="12" width="4.42578125" bestFit="1" customWidth="1"/>
    <col min="13" max="13" width="8" bestFit="1" customWidth="1"/>
    <col min="14" max="14" width="3.7109375" customWidth="1"/>
    <col min="15" max="15" width="8.85546875" bestFit="1" customWidth="1"/>
    <col min="16" max="17" width="8.85546875" customWidth="1"/>
    <col min="18" max="18" width="5" customWidth="1"/>
    <col min="19" max="19" width="8.5703125" customWidth="1"/>
    <col min="20" max="20" width="3.5703125" bestFit="1" customWidth="1"/>
    <col min="21" max="21" width="7.85546875" bestFit="1" customWidth="1"/>
    <col min="22" max="22" width="3.140625" bestFit="1" customWidth="1"/>
    <col min="24" max="24" width="3.140625" bestFit="1" customWidth="1"/>
    <col min="26" max="26" width="3.28515625" customWidth="1"/>
  </cols>
  <sheetData>
    <row r="1" spans="1:27" ht="23.25" customHeight="1" x14ac:dyDescent="0.25">
      <c r="A1" s="1090" t="s">
        <v>386</v>
      </c>
      <c r="B1" s="1090"/>
      <c r="C1" s="1090"/>
      <c r="D1" s="1090"/>
      <c r="E1" s="1090"/>
      <c r="F1" s="1090"/>
      <c r="G1" s="1090"/>
      <c r="H1" s="1090"/>
      <c r="I1" s="1090"/>
      <c r="J1" s="1090"/>
      <c r="K1" s="1090"/>
      <c r="L1" s="1090"/>
      <c r="M1" s="1090"/>
      <c r="N1" s="1090"/>
      <c r="O1" s="1090"/>
      <c r="P1" s="1090"/>
      <c r="Q1" s="1090"/>
      <c r="R1" s="1090"/>
      <c r="S1" s="1090"/>
      <c r="T1" s="1090"/>
    </row>
    <row r="2" spans="1:27" s="12" customFormat="1" ht="28.9" customHeight="1" x14ac:dyDescent="0.2">
      <c r="A2" s="943" t="s">
        <v>156</v>
      </c>
      <c r="B2" s="943" t="s">
        <v>282</v>
      </c>
      <c r="C2" s="943" t="s">
        <v>157</v>
      </c>
      <c r="D2" s="943" t="s">
        <v>158</v>
      </c>
      <c r="E2" s="937" t="s">
        <v>337</v>
      </c>
      <c r="F2" s="938"/>
      <c r="G2" s="937" t="s">
        <v>277</v>
      </c>
      <c r="H2" s="938"/>
      <c r="I2" s="937" t="s">
        <v>159</v>
      </c>
      <c r="J2" s="938"/>
      <c r="K2" s="975" t="s">
        <v>749</v>
      </c>
      <c r="L2" s="948"/>
      <c r="M2" s="948"/>
      <c r="N2" s="948"/>
      <c r="O2" s="949"/>
      <c r="P2" s="943" t="s">
        <v>250</v>
      </c>
      <c r="Q2" s="943" t="s">
        <v>625</v>
      </c>
      <c r="R2" s="968" t="s">
        <v>750</v>
      </c>
      <c r="S2" s="969"/>
      <c r="T2" s="968" t="s">
        <v>751</v>
      </c>
      <c r="U2" s="969"/>
      <c r="V2" s="968" t="s">
        <v>751</v>
      </c>
      <c r="W2" s="973"/>
      <c r="X2" s="973"/>
      <c r="Y2" s="973"/>
      <c r="Z2" s="973"/>
      <c r="AA2" s="969"/>
    </row>
    <row r="3" spans="1:27" s="12" customFormat="1" ht="14.45" customHeight="1" x14ac:dyDescent="0.2">
      <c r="A3" s="944"/>
      <c r="B3" s="944"/>
      <c r="C3" s="944"/>
      <c r="D3" s="944"/>
      <c r="E3" s="939"/>
      <c r="F3" s="940"/>
      <c r="G3" s="939"/>
      <c r="H3" s="940"/>
      <c r="I3" s="939"/>
      <c r="J3" s="940"/>
      <c r="K3" s="975" t="s">
        <v>160</v>
      </c>
      <c r="L3" s="948"/>
      <c r="M3" s="949"/>
      <c r="N3" s="968" t="s">
        <v>626</v>
      </c>
      <c r="O3" s="969"/>
      <c r="P3" s="944"/>
      <c r="Q3" s="944"/>
      <c r="R3" s="939"/>
      <c r="S3" s="940"/>
      <c r="T3" s="939"/>
      <c r="U3" s="940"/>
      <c r="V3" s="941"/>
      <c r="W3" s="974"/>
      <c r="X3" s="974"/>
      <c r="Y3" s="974"/>
      <c r="Z3" s="974"/>
      <c r="AA3" s="942"/>
    </row>
    <row r="4" spans="1:27" s="12" customFormat="1" ht="20.25" customHeight="1" x14ac:dyDescent="0.2">
      <c r="A4" s="944"/>
      <c r="B4" s="944"/>
      <c r="C4" s="944"/>
      <c r="D4" s="944"/>
      <c r="E4" s="941"/>
      <c r="F4" s="942"/>
      <c r="G4" s="941"/>
      <c r="H4" s="942"/>
      <c r="I4" s="941"/>
      <c r="J4" s="942"/>
      <c r="K4" s="950" t="s">
        <v>161</v>
      </c>
      <c r="L4" s="975" t="s">
        <v>247</v>
      </c>
      <c r="M4" s="949"/>
      <c r="N4" s="941"/>
      <c r="O4" s="942"/>
      <c r="P4" s="946"/>
      <c r="Q4" s="946"/>
      <c r="R4" s="941"/>
      <c r="S4" s="942"/>
      <c r="T4" s="941"/>
      <c r="U4" s="942"/>
      <c r="V4" s="975" t="s">
        <v>584</v>
      </c>
      <c r="W4" s="949"/>
      <c r="X4" s="975" t="s">
        <v>585</v>
      </c>
      <c r="Y4" s="949"/>
      <c r="Z4" s="975" t="s">
        <v>586</v>
      </c>
      <c r="AA4" s="949"/>
    </row>
    <row r="5" spans="1:27" s="12" customFormat="1" ht="21" x14ac:dyDescent="0.2">
      <c r="A5" s="945"/>
      <c r="B5" s="945"/>
      <c r="C5" s="945"/>
      <c r="D5" s="945"/>
      <c r="E5" s="154" t="s">
        <v>161</v>
      </c>
      <c r="F5" s="125" t="s">
        <v>162</v>
      </c>
      <c r="G5" s="15" t="s">
        <v>161</v>
      </c>
      <c r="H5" s="16" t="s">
        <v>162</v>
      </c>
      <c r="I5" s="154" t="s">
        <v>161</v>
      </c>
      <c r="J5" s="125" t="s">
        <v>162</v>
      </c>
      <c r="K5" s="1119"/>
      <c r="L5" s="154" t="s">
        <v>161</v>
      </c>
      <c r="M5" s="125" t="s">
        <v>162</v>
      </c>
      <c r="N5" s="154" t="s">
        <v>161</v>
      </c>
      <c r="O5" s="125" t="s">
        <v>162</v>
      </c>
      <c r="P5" s="16" t="s">
        <v>162</v>
      </c>
      <c r="Q5" s="16" t="s">
        <v>162</v>
      </c>
      <c r="R5" s="15" t="s">
        <v>161</v>
      </c>
      <c r="S5" s="16" t="s">
        <v>162</v>
      </c>
      <c r="T5" s="77" t="s">
        <v>161</v>
      </c>
      <c r="U5" s="78" t="s">
        <v>162</v>
      </c>
      <c r="V5" s="218" t="s">
        <v>161</v>
      </c>
      <c r="W5" s="209" t="s">
        <v>162</v>
      </c>
      <c r="X5" s="218" t="s">
        <v>161</v>
      </c>
      <c r="Y5" s="209" t="s">
        <v>162</v>
      </c>
      <c r="Z5" s="218" t="s">
        <v>161</v>
      </c>
      <c r="AA5" s="209" t="s">
        <v>162</v>
      </c>
    </row>
    <row r="6" spans="1:27" s="23" customFormat="1" ht="57" x14ac:dyDescent="0.25">
      <c r="A6" s="302" t="s">
        <v>384</v>
      </c>
      <c r="B6" s="145">
        <v>50401</v>
      </c>
      <c r="C6" s="246">
        <v>4000000</v>
      </c>
      <c r="D6" s="106">
        <v>44141</v>
      </c>
      <c r="E6" s="88">
        <v>689</v>
      </c>
      <c r="F6" s="211">
        <v>3075000</v>
      </c>
      <c r="G6" s="81">
        <v>1</v>
      </c>
      <c r="H6" s="81">
        <v>5000</v>
      </c>
      <c r="I6" s="88">
        <v>689</v>
      </c>
      <c r="J6" s="211">
        <v>3075000</v>
      </c>
      <c r="K6" s="88">
        <v>668</v>
      </c>
      <c r="L6" s="211">
        <v>668</v>
      </c>
      <c r="M6" s="88">
        <v>2954000</v>
      </c>
      <c r="N6" s="211">
        <v>20</v>
      </c>
      <c r="O6" s="88">
        <v>78000</v>
      </c>
      <c r="P6" s="58">
        <v>0</v>
      </c>
      <c r="Q6" s="88">
        <f>C6-M6</f>
        <v>1046000</v>
      </c>
      <c r="R6" s="211">
        <v>653</v>
      </c>
      <c r="S6" s="88">
        <v>2888999.99</v>
      </c>
      <c r="T6" s="88">
        <v>651</v>
      </c>
      <c r="U6" s="88">
        <v>2888999.99</v>
      </c>
      <c r="V6" s="22">
        <v>0</v>
      </c>
      <c r="W6" s="22">
        <v>0</v>
      </c>
      <c r="X6" s="22">
        <v>0</v>
      </c>
      <c r="Y6" s="22">
        <v>0</v>
      </c>
      <c r="Z6" s="22">
        <v>649</v>
      </c>
      <c r="AA6" s="22">
        <v>2888999.99</v>
      </c>
    </row>
    <row r="7" spans="1:27" x14ac:dyDescent="0.25">
      <c r="A7" s="19" t="s">
        <v>314</v>
      </c>
      <c r="B7" s="59"/>
      <c r="C7" s="20">
        <f>SUM(C6:C6)</f>
        <v>4000000</v>
      </c>
      <c r="D7" s="20"/>
      <c r="E7" s="20">
        <f t="shared" ref="E7:U7" si="0">SUM(E6:E6)</f>
        <v>689</v>
      </c>
      <c r="F7" s="20">
        <f t="shared" si="0"/>
        <v>3075000</v>
      </c>
      <c r="G7" s="20">
        <f t="shared" si="0"/>
        <v>1</v>
      </c>
      <c r="H7" s="20">
        <f t="shared" si="0"/>
        <v>5000</v>
      </c>
      <c r="I7" s="20">
        <f t="shared" si="0"/>
        <v>689</v>
      </c>
      <c r="J7" s="20">
        <f t="shared" si="0"/>
        <v>3075000</v>
      </c>
      <c r="K7" s="20">
        <f t="shared" si="0"/>
        <v>668</v>
      </c>
      <c r="L7" s="20">
        <f t="shared" si="0"/>
        <v>668</v>
      </c>
      <c r="M7" s="20">
        <f t="shared" si="0"/>
        <v>2954000</v>
      </c>
      <c r="N7" s="20">
        <f t="shared" si="0"/>
        <v>20</v>
      </c>
      <c r="O7" s="20">
        <f t="shared" si="0"/>
        <v>78000</v>
      </c>
      <c r="P7" s="20">
        <f t="shared" si="0"/>
        <v>0</v>
      </c>
      <c r="Q7" s="20">
        <f t="shared" si="0"/>
        <v>1046000</v>
      </c>
      <c r="R7" s="20">
        <f t="shared" si="0"/>
        <v>653</v>
      </c>
      <c r="S7" s="20">
        <f t="shared" si="0"/>
        <v>2888999.99</v>
      </c>
      <c r="T7" s="20">
        <f t="shared" si="0"/>
        <v>651</v>
      </c>
      <c r="U7" s="20">
        <f t="shared" si="0"/>
        <v>2888999.99</v>
      </c>
      <c r="V7" s="20">
        <f t="shared" ref="V7:AA7" si="1">SUM(V6:V6)</f>
        <v>0</v>
      </c>
      <c r="W7" s="20">
        <f t="shared" si="1"/>
        <v>0</v>
      </c>
      <c r="X7" s="20">
        <f t="shared" si="1"/>
        <v>0</v>
      </c>
      <c r="Y7" s="20">
        <f t="shared" si="1"/>
        <v>0</v>
      </c>
      <c r="Z7" s="20">
        <f t="shared" si="1"/>
        <v>649</v>
      </c>
      <c r="AA7" s="20">
        <f t="shared" si="1"/>
        <v>2888999.99</v>
      </c>
    </row>
    <row r="8" spans="1:27" ht="15" customHeight="1" x14ac:dyDescent="0.25">
      <c r="A8" s="210" t="s">
        <v>390</v>
      </c>
      <c r="B8" s="134"/>
      <c r="C8" s="134"/>
      <c r="D8" s="134"/>
      <c r="E8" s="134"/>
      <c r="F8" s="134"/>
      <c r="G8" s="134"/>
      <c r="H8" s="134"/>
      <c r="I8" s="134"/>
      <c r="J8" s="134"/>
      <c r="K8" s="134"/>
      <c r="L8" s="134"/>
      <c r="M8" s="134"/>
      <c r="N8" s="134"/>
      <c r="O8" s="134"/>
      <c r="P8" s="134"/>
      <c r="Q8" s="134"/>
      <c r="R8" s="134"/>
      <c r="S8" s="134"/>
    </row>
    <row r="9" spans="1:27" s="23" customFormat="1" ht="25.9" customHeight="1" x14ac:dyDescent="0.25">
      <c r="A9" s="935" t="s">
        <v>744</v>
      </c>
      <c r="B9" s="935"/>
      <c r="C9" s="935"/>
      <c r="D9" s="935"/>
      <c r="E9" s="935"/>
      <c r="F9" s="935"/>
      <c r="G9" s="935"/>
      <c r="H9" s="935"/>
      <c r="I9" s="935"/>
      <c r="J9" s="935"/>
      <c r="K9" s="935"/>
      <c r="L9" s="935"/>
      <c r="M9" s="935"/>
      <c r="N9" s="935"/>
      <c r="O9" s="935"/>
      <c r="P9" s="935"/>
      <c r="Q9" s="935"/>
      <c r="R9" s="935"/>
      <c r="S9" s="935"/>
      <c r="T9" s="935"/>
      <c r="U9" s="935"/>
      <c r="V9" s="935"/>
      <c r="W9" s="935"/>
      <c r="X9" s="935"/>
      <c r="Y9" s="935"/>
      <c r="Z9" s="935"/>
      <c r="AA9" s="935"/>
    </row>
    <row r="10" spans="1:27" x14ac:dyDescent="0.25">
      <c r="A10" s="12"/>
      <c r="B10" s="12"/>
    </row>
  </sheetData>
  <mergeCells count="22">
    <mergeCell ref="A1:T1"/>
    <mergeCell ref="A2:A5"/>
    <mergeCell ref="B2:B5"/>
    <mergeCell ref="C2:C5"/>
    <mergeCell ref="D2:D5"/>
    <mergeCell ref="E2:F4"/>
    <mergeCell ref="G2:H4"/>
    <mergeCell ref="I2:J4"/>
    <mergeCell ref="K2:O2"/>
    <mergeCell ref="P2:P4"/>
    <mergeCell ref="R2:S4"/>
    <mergeCell ref="T2:U4"/>
    <mergeCell ref="K3:M3"/>
    <mergeCell ref="A9:AA9"/>
    <mergeCell ref="N3:O4"/>
    <mergeCell ref="Q2:Q4"/>
    <mergeCell ref="V2:AA3"/>
    <mergeCell ref="V4:W4"/>
    <mergeCell ref="X4:Y4"/>
    <mergeCell ref="Z4:AA4"/>
    <mergeCell ref="K4:K5"/>
    <mergeCell ref="L4:M4"/>
  </mergeCells>
  <printOptions horizontalCentered="1" verticalCentered="1"/>
  <pageMargins left="0.70866141732283472" right="0.70866141732283472" top="0.74803149606299213" bottom="0.74803149606299213" header="0.31496062992125984" footer="0.31496062992125984"/>
  <pageSetup paperSize="9" scale="7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A93B8-FA4E-4FFC-9217-0A5F767EE569}">
  <dimension ref="A1:F9"/>
  <sheetViews>
    <sheetView view="pageBreakPreview" zoomScale="130" zoomScaleNormal="175" zoomScaleSheetLayoutView="130" workbookViewId="0">
      <selection activeCell="E5" sqref="E5"/>
    </sheetView>
  </sheetViews>
  <sheetFormatPr defaultRowHeight="15" x14ac:dyDescent="0.25"/>
  <cols>
    <col min="1" max="1" width="10.28515625" bestFit="1" customWidth="1"/>
    <col min="2" max="2" width="19.85546875" customWidth="1"/>
    <col min="3" max="3" width="16.140625" customWidth="1"/>
    <col min="4" max="4" width="14" style="13" customWidth="1"/>
    <col min="5" max="5" width="14.85546875" customWidth="1"/>
    <col min="6" max="6" width="14.85546875" style="13" customWidth="1"/>
  </cols>
  <sheetData>
    <row r="1" spans="1:6" x14ac:dyDescent="0.25">
      <c r="A1" s="1122" t="s">
        <v>753</v>
      </c>
      <c r="B1" s="1122"/>
      <c r="C1" s="1122"/>
      <c r="D1" s="1122"/>
      <c r="E1" s="1122"/>
      <c r="F1" s="1122"/>
    </row>
    <row r="3" spans="1:6" ht="36" x14ac:dyDescent="0.25">
      <c r="A3" s="393" t="s">
        <v>633</v>
      </c>
      <c r="B3" s="392" t="s">
        <v>657</v>
      </c>
      <c r="C3" s="393" t="s">
        <v>755</v>
      </c>
      <c r="D3" s="393" t="s">
        <v>634</v>
      </c>
      <c r="E3" s="393" t="s">
        <v>754</v>
      </c>
      <c r="F3" s="393" t="s">
        <v>635</v>
      </c>
    </row>
    <row r="4" spans="1:6" x14ac:dyDescent="0.25">
      <c r="A4" s="394" t="s">
        <v>65</v>
      </c>
      <c r="B4" s="395">
        <v>725816.74</v>
      </c>
      <c r="C4" s="396">
        <v>725816.74</v>
      </c>
      <c r="D4" s="397">
        <f t="shared" ref="D4" si="0">C4/B4</f>
        <v>1</v>
      </c>
      <c r="E4" s="396">
        <v>679804.03999999992</v>
      </c>
      <c r="F4" s="397">
        <f t="shared" ref="F4" si="1">E4/B4</f>
        <v>0.93660562306678119</v>
      </c>
    </row>
    <row r="5" spans="1:6" x14ac:dyDescent="0.25">
      <c r="A5" s="394" t="s">
        <v>67</v>
      </c>
      <c r="B5" s="396">
        <v>78729496.424594223</v>
      </c>
      <c r="C5" s="396">
        <f>'M19'!M16</f>
        <v>74414781.039999992</v>
      </c>
      <c r="D5" s="397">
        <f>C5/B5</f>
        <v>0.94519569436435058</v>
      </c>
      <c r="E5" s="396">
        <f>'M19'!T16</f>
        <v>27352542.760000002</v>
      </c>
      <c r="F5" s="397">
        <f>E5/B5</f>
        <v>0.34742433271115614</v>
      </c>
    </row>
    <row r="6" spans="1:6" x14ac:dyDescent="0.25">
      <c r="A6" s="394" t="s">
        <v>69</v>
      </c>
      <c r="B6" s="395">
        <v>2891597</v>
      </c>
      <c r="C6" s="396">
        <f>'M19'!M26</f>
        <v>2244165.7000000002</v>
      </c>
      <c r="D6" s="397">
        <f t="shared" ref="D6:D7" si="2">C6/B6</f>
        <v>0.77609905529712475</v>
      </c>
      <c r="E6" s="396">
        <f>'M19'!T26</f>
        <v>810146.87999999977</v>
      </c>
      <c r="F6" s="397">
        <f>E6/B6</f>
        <v>0.28017281799642196</v>
      </c>
    </row>
    <row r="7" spans="1:6" x14ac:dyDescent="0.25">
      <c r="A7" s="394" t="s">
        <v>71</v>
      </c>
      <c r="B7" s="395">
        <v>16924299.284918845</v>
      </c>
      <c r="C7" s="396">
        <f>'M19'!M35</f>
        <v>16356307.320000002</v>
      </c>
      <c r="D7" s="397">
        <f t="shared" si="2"/>
        <v>0.96643926254453694</v>
      </c>
      <c r="E7" s="396">
        <f>'M19'!T35</f>
        <v>11183860.82</v>
      </c>
      <c r="F7" s="397">
        <f t="shared" ref="F7" si="3">E7/B7</f>
        <v>0.66081677189234533</v>
      </c>
    </row>
    <row r="8" spans="1:6" x14ac:dyDescent="0.25">
      <c r="A8" s="19" t="s">
        <v>636</v>
      </c>
      <c r="B8" s="391">
        <f>SUM(B4:B7)</f>
        <v>99271209.449513063</v>
      </c>
      <c r="C8" s="391">
        <f t="shared" ref="C8:E8" si="4">SUM(C4:C7)</f>
        <v>93741070.799999997</v>
      </c>
      <c r="D8" s="390">
        <f>C8/B8</f>
        <v>0.94429262340834519</v>
      </c>
      <c r="E8" s="391">
        <f t="shared" si="4"/>
        <v>40026354.5</v>
      </c>
      <c r="F8" s="390">
        <f t="shared" ref="F8" si="5">E8/B8</f>
        <v>0.40320204339160826</v>
      </c>
    </row>
    <row r="9" spans="1:6" ht="34.15" customHeight="1" x14ac:dyDescent="0.25">
      <c r="A9" s="1117" t="s">
        <v>756</v>
      </c>
      <c r="B9" s="1117"/>
      <c r="C9" s="1117"/>
      <c r="D9" s="1117"/>
      <c r="E9" s="1117"/>
      <c r="F9" s="1117"/>
    </row>
  </sheetData>
  <mergeCells count="2">
    <mergeCell ref="A1:F1"/>
    <mergeCell ref="A9:F9"/>
  </mergeCells>
  <printOptions horizontalCentered="1"/>
  <pageMargins left="0.70866141732283472" right="0.70866141732283472" top="0.74803149606299213" bottom="0.74803149606299213" header="0.31496062992125984" footer="0.31496062992125984"/>
  <pageSetup paperSize="9" scale="11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FB0D-5605-4560-9C4A-6E40FFC90529}">
  <dimension ref="A1:K23"/>
  <sheetViews>
    <sheetView view="pageBreakPreview" zoomScale="110" zoomScaleNormal="160" zoomScaleSheetLayoutView="110" workbookViewId="0">
      <selection activeCell="H15" sqref="H15"/>
    </sheetView>
  </sheetViews>
  <sheetFormatPr defaultRowHeight="15" x14ac:dyDescent="0.25"/>
  <cols>
    <col min="1" max="1" width="8.7109375" customWidth="1"/>
    <col min="2" max="3" width="16.28515625" style="388" customWidth="1"/>
    <col min="4" max="4" width="16.5703125" style="388" customWidth="1"/>
    <col min="5" max="5" width="14.28515625" customWidth="1"/>
    <col min="6" max="6" width="16.28515625" style="388" customWidth="1"/>
    <col min="7" max="7" width="8.85546875" bestFit="1" customWidth="1"/>
    <col min="8" max="8" width="10" customWidth="1"/>
    <col min="9" max="9" width="10.85546875" customWidth="1"/>
    <col min="10" max="10" width="11.42578125" customWidth="1"/>
    <col min="11" max="11" width="10.7109375" customWidth="1"/>
  </cols>
  <sheetData>
    <row r="1" spans="1:11" x14ac:dyDescent="0.25">
      <c r="A1" s="1123" t="s">
        <v>757</v>
      </c>
      <c r="B1" s="1123"/>
      <c r="C1" s="1123"/>
      <c r="D1" s="1123"/>
      <c r="E1" s="1123"/>
      <c r="F1" s="1123"/>
      <c r="G1" s="1123"/>
      <c r="H1" s="1123"/>
      <c r="I1" s="1123"/>
      <c r="J1" s="1123"/>
      <c r="K1" s="1123"/>
    </row>
    <row r="2" spans="1:11" ht="7.15" customHeight="1" x14ac:dyDescent="0.25"/>
    <row r="3" spans="1:11" s="13" customFormat="1" ht="55.9" customHeight="1" x14ac:dyDescent="0.25">
      <c r="A3" s="393" t="s">
        <v>297</v>
      </c>
      <c r="B3" s="392" t="s">
        <v>657</v>
      </c>
      <c r="C3" s="402" t="s">
        <v>664</v>
      </c>
      <c r="D3" s="401" t="s">
        <v>758</v>
      </c>
      <c r="E3" s="401" t="s">
        <v>759</v>
      </c>
      <c r="F3" s="401" t="s">
        <v>760</v>
      </c>
      <c r="G3" s="401" t="s">
        <v>634</v>
      </c>
      <c r="H3" s="544" t="s">
        <v>761</v>
      </c>
      <c r="I3" s="401" t="s">
        <v>762</v>
      </c>
      <c r="J3" s="401" t="s">
        <v>763</v>
      </c>
      <c r="K3" s="401" t="s">
        <v>635</v>
      </c>
    </row>
    <row r="4" spans="1:11" s="13" customFormat="1" x14ac:dyDescent="0.25">
      <c r="A4" s="401"/>
      <c r="B4" s="402" t="s">
        <v>305</v>
      </c>
      <c r="C4" s="402"/>
      <c r="D4" s="401" t="s">
        <v>306</v>
      </c>
      <c r="E4" s="401" t="s">
        <v>307</v>
      </c>
      <c r="F4" s="401" t="s">
        <v>659</v>
      </c>
      <c r="G4" s="401" t="s">
        <v>517</v>
      </c>
      <c r="H4" s="401" t="s">
        <v>515</v>
      </c>
      <c r="I4" s="401" t="s">
        <v>637</v>
      </c>
      <c r="J4" s="401" t="s">
        <v>660</v>
      </c>
      <c r="K4" s="401" t="s">
        <v>661</v>
      </c>
    </row>
    <row r="5" spans="1:11" x14ac:dyDescent="0.25">
      <c r="A5" s="398">
        <v>1</v>
      </c>
      <c r="B5" s="399">
        <v>4484070.4823210798</v>
      </c>
      <c r="C5" s="485">
        <v>905834.78999999992</v>
      </c>
      <c r="D5" s="489">
        <v>905102.79</v>
      </c>
      <c r="E5" s="488">
        <f>'GAL ANGLONA ROMANGIA'!N13</f>
        <v>3809667.3699999996</v>
      </c>
      <c r="F5" s="403">
        <f>D5+E5</f>
        <v>4714770.16</v>
      </c>
      <c r="G5" s="404">
        <f>F5/B5</f>
        <v>1.051448717987034</v>
      </c>
      <c r="H5" s="530">
        <v>379856.59</v>
      </c>
      <c r="I5" s="488">
        <f>'GAL ANGLONA ROMANGIA'!U13</f>
        <v>2131598.89</v>
      </c>
      <c r="J5" s="403">
        <f>H5+I5</f>
        <v>2511455.48</v>
      </c>
      <c r="K5" s="404">
        <f>J5/B5</f>
        <v>0.56008385459186638</v>
      </c>
    </row>
    <row r="6" spans="1:11" x14ac:dyDescent="0.25">
      <c r="A6" s="398">
        <v>2</v>
      </c>
      <c r="B6" s="399">
        <v>4139677.8313449896</v>
      </c>
      <c r="C6" s="485">
        <v>274973</v>
      </c>
      <c r="D6" s="489">
        <v>274973</v>
      </c>
      <c r="E6" s="488">
        <f>'GAL BARBAGIA_GAL BARIGADU'!N19</f>
        <v>4444666.18</v>
      </c>
      <c r="F6" s="403">
        <f t="shared" ref="F6:F21" si="0">D6+E6</f>
        <v>4719639.18</v>
      </c>
      <c r="G6" s="404">
        <f t="shared" ref="G6:G20" si="1">F6/B6</f>
        <v>1.1400981845165907</v>
      </c>
      <c r="H6" s="530"/>
      <c r="I6" s="488">
        <f>'GAL BARBAGIA_GAL BARIGADU'!U19</f>
        <v>2787734.08</v>
      </c>
      <c r="J6" s="403">
        <f t="shared" ref="J6:J22" si="2">H6+I6</f>
        <v>2787734.08</v>
      </c>
      <c r="K6" s="404">
        <f t="shared" ref="K6:K21" si="3">J6/B6</f>
        <v>0.67341812420563651</v>
      </c>
    </row>
    <row r="7" spans="1:11" x14ac:dyDescent="0.25">
      <c r="A7" s="398">
        <v>3</v>
      </c>
      <c r="B7" s="399">
        <v>4112848.5516246753</v>
      </c>
      <c r="C7" s="485">
        <v>403230.99</v>
      </c>
      <c r="D7" s="489">
        <v>403230.99</v>
      </c>
      <c r="E7" s="488">
        <f>'GAL BARBAGIA_GAL BARIGADU'!N35</f>
        <v>2385636.4500000002</v>
      </c>
      <c r="F7" s="403">
        <f t="shared" si="0"/>
        <v>2788867.4400000004</v>
      </c>
      <c r="G7" s="404">
        <f t="shared" si="1"/>
        <v>0.67808658767615693</v>
      </c>
      <c r="H7" s="530"/>
      <c r="I7" s="488">
        <f>'GAL BARBAGIA_GAL BARIGADU'!U35</f>
        <v>1456576.9000000001</v>
      </c>
      <c r="J7" s="403">
        <f t="shared" si="2"/>
        <v>1456576.9000000001</v>
      </c>
      <c r="K7" s="404">
        <f t="shared" si="3"/>
        <v>0.35415281689004008</v>
      </c>
    </row>
    <row r="8" spans="1:11" x14ac:dyDescent="0.25">
      <c r="A8" s="398">
        <v>4</v>
      </c>
      <c r="B8" s="399">
        <v>4557813.2470303206</v>
      </c>
      <c r="C8" s="485">
        <v>396888.19</v>
      </c>
      <c r="D8" s="489">
        <v>396888.19</v>
      </c>
      <c r="E8" s="488">
        <f>'GAL CAMPIDANO_GAL BMG'!N20</f>
        <v>1499499.8599999999</v>
      </c>
      <c r="F8" s="403">
        <f t="shared" si="0"/>
        <v>1896388.0499999998</v>
      </c>
      <c r="G8" s="404">
        <f t="shared" si="1"/>
        <v>0.41607410115708593</v>
      </c>
      <c r="H8" s="530"/>
      <c r="I8" s="488">
        <f>'GAL CAMPIDANO_GAL BMG'!U20</f>
        <v>125083.79999999999</v>
      </c>
      <c r="J8" s="403">
        <f t="shared" si="2"/>
        <v>125083.79999999999</v>
      </c>
      <c r="K8" s="404">
        <f t="shared" si="3"/>
        <v>2.7443818607859664E-2</v>
      </c>
    </row>
    <row r="9" spans="1:11" x14ac:dyDescent="0.25">
      <c r="A9" s="398">
        <v>5</v>
      </c>
      <c r="B9" s="399">
        <v>4189093.948272015</v>
      </c>
      <c r="C9" s="485">
        <v>344904.12</v>
      </c>
      <c r="D9" s="489">
        <v>539372.12</v>
      </c>
      <c r="E9" s="488">
        <f>'GAL CAMPIDANO_GAL BMG'!N52</f>
        <v>4583178.8900000006</v>
      </c>
      <c r="F9" s="403">
        <f t="shared" si="0"/>
        <v>5122551.0100000007</v>
      </c>
      <c r="G9" s="404">
        <f t="shared" si="1"/>
        <v>1.2228303001208729</v>
      </c>
      <c r="H9" s="530"/>
      <c r="I9" s="488">
        <f>'GAL CAMPIDANO_GAL BMG'!U52</f>
        <v>1549376.57</v>
      </c>
      <c r="J9" s="403">
        <f t="shared" si="2"/>
        <v>1549376.57</v>
      </c>
      <c r="K9" s="404">
        <f t="shared" si="3"/>
        <v>0.36985958995718199</v>
      </c>
    </row>
    <row r="10" spans="1:11" x14ac:dyDescent="0.25">
      <c r="A10" s="398">
        <v>6</v>
      </c>
      <c r="B10" s="399">
        <v>5286496.1297358153</v>
      </c>
      <c r="C10" s="485">
        <v>230298.83</v>
      </c>
      <c r="D10" s="489">
        <v>230298.83</v>
      </c>
      <c r="E10" s="488">
        <f>'GAL GALLURA_GAL LINAS'!N24</f>
        <v>3755464.08</v>
      </c>
      <c r="F10" s="403">
        <f t="shared" si="0"/>
        <v>3985762.91</v>
      </c>
      <c r="G10" s="404">
        <f t="shared" si="1"/>
        <v>0.75395173138983884</v>
      </c>
      <c r="H10" s="530"/>
      <c r="I10" s="488">
        <f>'GAL GALLURA_GAL LINAS'!U24</f>
        <v>513182.44999999995</v>
      </c>
      <c r="J10" s="403">
        <f t="shared" si="2"/>
        <v>513182.44999999995</v>
      </c>
      <c r="K10" s="404">
        <f t="shared" si="3"/>
        <v>9.7074212749995045E-2</v>
      </c>
    </row>
    <row r="11" spans="1:11" x14ac:dyDescent="0.25">
      <c r="A11" s="398">
        <v>7</v>
      </c>
      <c r="B11" s="399">
        <v>4646084.1733281789</v>
      </c>
      <c r="C11" s="486">
        <v>0</v>
      </c>
      <c r="D11" s="489">
        <v>0</v>
      </c>
      <c r="E11" s="488">
        <f>'GAL GALLURA_GAL LINAS'!N47</f>
        <v>4751483.1600000011</v>
      </c>
      <c r="F11" s="403">
        <f t="shared" si="0"/>
        <v>4751483.1600000011</v>
      </c>
      <c r="G11" s="404">
        <f t="shared" si="1"/>
        <v>1.0226855525513048</v>
      </c>
      <c r="H11" s="530"/>
      <c r="I11" s="488">
        <f>'GAL GALLURA_GAL LINAS'!U47</f>
        <v>2864302.49</v>
      </c>
      <c r="J11" s="403">
        <f t="shared" si="2"/>
        <v>2864302.49</v>
      </c>
      <c r="K11" s="404">
        <f t="shared" si="3"/>
        <v>0.61649819141097995</v>
      </c>
    </row>
    <row r="12" spans="1:11" x14ac:dyDescent="0.25">
      <c r="A12" s="398">
        <v>8</v>
      </c>
      <c r="B12" s="399">
        <v>5992995.8630595068</v>
      </c>
      <c r="C12" s="485">
        <v>516995.44000000006</v>
      </c>
      <c r="D12" s="489">
        <v>876421.57000000007</v>
      </c>
      <c r="E12" s="488">
        <f>'GAL LOGUDORO_GAL MARGHINE'!N17</f>
        <v>3158187.4299999997</v>
      </c>
      <c r="F12" s="403">
        <f t="shared" si="0"/>
        <v>4034609</v>
      </c>
      <c r="G12" s="404">
        <f>F12/B12</f>
        <v>0.67322072168764635</v>
      </c>
      <c r="H12" s="530"/>
      <c r="I12" s="488">
        <f>'GAL LOGUDORO_GAL MARGHINE'!U17</f>
        <v>1647296.9000000001</v>
      </c>
      <c r="J12" s="403">
        <f t="shared" si="2"/>
        <v>1647296.9000000001</v>
      </c>
      <c r="K12" s="404">
        <f t="shared" si="3"/>
        <v>0.27487035493447387</v>
      </c>
    </row>
    <row r="13" spans="1:11" x14ac:dyDescent="0.25">
      <c r="A13" s="398">
        <v>9</v>
      </c>
      <c r="B13" s="399">
        <v>3967900.9110028418</v>
      </c>
      <c r="C13" s="486">
        <v>299955</v>
      </c>
      <c r="D13" s="489">
        <v>402191</v>
      </c>
      <c r="E13" s="488">
        <f>'GAL LOGUDORO_GAL MARGHINE'!N34</f>
        <v>3213278.76</v>
      </c>
      <c r="F13" s="403">
        <f t="shared" si="0"/>
        <v>3615469.76</v>
      </c>
      <c r="G13" s="404">
        <f t="shared" si="1"/>
        <v>0.91117944754478031</v>
      </c>
      <c r="H13" s="530"/>
      <c r="I13" s="488">
        <f>'GAL LOGUDORO_GAL MARGHINE'!U34</f>
        <v>302784.75</v>
      </c>
      <c r="J13" s="403">
        <f t="shared" si="2"/>
        <v>302784.75</v>
      </c>
      <c r="K13" s="404">
        <f t="shared" si="3"/>
        <v>7.6308546203961172E-2</v>
      </c>
    </row>
    <row r="14" spans="1:11" x14ac:dyDescent="0.25">
      <c r="A14" s="398">
        <v>10</v>
      </c>
      <c r="B14" s="399">
        <v>5046134.381827686</v>
      </c>
      <c r="C14" s="485">
        <v>855676.4</v>
      </c>
      <c r="D14" s="489">
        <v>855676.39999999991</v>
      </c>
      <c r="E14" s="488">
        <f>'GAL MARMILLA_GAL NUORESE B.'!N23</f>
        <v>4970650.1500000004</v>
      </c>
      <c r="F14" s="403">
        <f t="shared" si="0"/>
        <v>5826326.5500000007</v>
      </c>
      <c r="G14" s="404">
        <f t="shared" si="1"/>
        <v>1.1546118492170898</v>
      </c>
      <c r="H14" s="530">
        <v>270684.77999999997</v>
      </c>
      <c r="I14" s="488">
        <f>'GAL MARMILLA_GAL NUORESE B.'!U23</f>
        <v>2666644.94</v>
      </c>
      <c r="J14" s="403">
        <f t="shared" si="2"/>
        <v>2937329.7199999997</v>
      </c>
      <c r="K14" s="404">
        <f>J14/B14</f>
        <v>0.5820950251697643</v>
      </c>
    </row>
    <row r="15" spans="1:11" x14ac:dyDescent="0.25">
      <c r="A15" s="398">
        <v>11</v>
      </c>
      <c r="B15" s="399">
        <v>3853892.3352495283</v>
      </c>
      <c r="C15" s="485">
        <v>300015.40000000002</v>
      </c>
      <c r="D15" s="489">
        <v>359795.4</v>
      </c>
      <c r="E15" s="488">
        <f>'GAL MARMILLA_GAL NUORESE B.'!N40</f>
        <v>3601641.3699999996</v>
      </c>
      <c r="F15" s="403">
        <f t="shared" si="0"/>
        <v>3961436.7699999996</v>
      </c>
      <c r="G15" s="404">
        <f t="shared" si="1"/>
        <v>1.0279054071559859</v>
      </c>
      <c r="H15" s="530">
        <v>109696.59</v>
      </c>
      <c r="I15" s="488">
        <f>'GAL MARMILLA_GAL NUORESE B.'!U40</f>
        <v>2184995.9</v>
      </c>
      <c r="J15" s="403">
        <f t="shared" si="2"/>
        <v>2294692.4899999998</v>
      </c>
      <c r="K15" s="404">
        <f t="shared" si="3"/>
        <v>0.59542205396130377</v>
      </c>
    </row>
    <row r="16" spans="1:11" x14ac:dyDescent="0.25">
      <c r="A16" s="398">
        <v>12</v>
      </c>
      <c r="B16" s="399">
        <v>5063271.7287962819</v>
      </c>
      <c r="C16" s="485">
        <v>247234.66</v>
      </c>
      <c r="D16" s="489">
        <v>247224.64</v>
      </c>
      <c r="E16" s="488">
        <f>'GAL OGLIASTRA_GAL SARCIDANO'!N24</f>
        <v>5034524.3499999996</v>
      </c>
      <c r="F16" s="403">
        <f t="shared" si="0"/>
        <v>5281748.9899999993</v>
      </c>
      <c r="G16" s="404">
        <f t="shared" si="1"/>
        <v>1.04314942450376</v>
      </c>
      <c r="H16" s="530">
        <v>46880.84</v>
      </c>
      <c r="I16" s="488">
        <f>'GAL OGLIASTRA_GAL SARCIDANO'!U24</f>
        <v>1485457.42</v>
      </c>
      <c r="J16" s="403">
        <f t="shared" si="2"/>
        <v>1532338.26</v>
      </c>
      <c r="K16" s="404">
        <f t="shared" si="3"/>
        <v>0.3026379665316305</v>
      </c>
    </row>
    <row r="17" spans="1:11" x14ac:dyDescent="0.25">
      <c r="A17" s="398">
        <v>13</v>
      </c>
      <c r="B17" s="399">
        <v>4177713.8851237358</v>
      </c>
      <c r="C17" s="485">
        <v>299954.44</v>
      </c>
      <c r="D17" s="489">
        <v>299954.44</v>
      </c>
      <c r="E17" s="488">
        <f>'GAL OGLIASTRA_GAL SARCIDANO'!N41</f>
        <v>2657248.08</v>
      </c>
      <c r="F17" s="403">
        <f>D17+E17</f>
        <v>2957202.52</v>
      </c>
      <c r="G17" s="404">
        <f t="shared" si="1"/>
        <v>0.70785185422347641</v>
      </c>
      <c r="H17" s="530"/>
      <c r="I17" s="488">
        <f>'GAL OGLIASTRA_GAL SARCIDANO'!U41</f>
        <v>1017090.07</v>
      </c>
      <c r="J17" s="403">
        <f t="shared" si="2"/>
        <v>1017090.07</v>
      </c>
      <c r="K17" s="404">
        <f t="shared" si="3"/>
        <v>0.24345613365762497</v>
      </c>
    </row>
    <row r="18" spans="1:11" x14ac:dyDescent="0.25">
      <c r="A18" s="398">
        <v>14</v>
      </c>
      <c r="B18" s="399">
        <v>4717532.2256672727</v>
      </c>
      <c r="C18" s="485">
        <v>500000</v>
      </c>
      <c r="D18" s="489">
        <v>500000</v>
      </c>
      <c r="E18" s="488">
        <f>'GAL SGT_GAL SINIS'!N19</f>
        <v>4018088.8900000006</v>
      </c>
      <c r="F18" s="403">
        <f t="shared" si="0"/>
        <v>4518088.8900000006</v>
      </c>
      <c r="G18" s="404">
        <f t="shared" si="1"/>
        <v>0.95772295214389092</v>
      </c>
      <c r="H18" s="530">
        <v>114063.93</v>
      </c>
      <c r="I18" s="488">
        <f>'GAL SGT_GAL SINIS'!U19</f>
        <v>1659317.0399999998</v>
      </c>
      <c r="J18" s="403">
        <f t="shared" si="2"/>
        <v>1773380.9699999997</v>
      </c>
      <c r="K18" s="404">
        <f t="shared" si="3"/>
        <v>0.37591284704984995</v>
      </c>
    </row>
    <row r="19" spans="1:11" x14ac:dyDescent="0.25">
      <c r="A19" s="398">
        <v>15</v>
      </c>
      <c r="B19" s="399">
        <v>3457564.7352025989</v>
      </c>
      <c r="C19" s="485">
        <v>741752.60000000009</v>
      </c>
      <c r="D19" s="489">
        <v>1004752.6000000001</v>
      </c>
      <c r="E19" s="488">
        <f>'GAL SGT_GAL SINIS'!N40</f>
        <v>2610213.6800000002</v>
      </c>
      <c r="F19" s="403">
        <f t="shared" si="0"/>
        <v>3614966.2800000003</v>
      </c>
      <c r="G19" s="404">
        <f t="shared" si="1"/>
        <v>1.0455238171522414</v>
      </c>
      <c r="H19" s="530">
        <v>484296.91000000003</v>
      </c>
      <c r="I19" s="488">
        <f>'GAL SGT_GAL SINIS'!U40</f>
        <v>681985.55</v>
      </c>
      <c r="J19" s="403">
        <f t="shared" si="2"/>
        <v>1166282.46</v>
      </c>
      <c r="K19" s="404">
        <f t="shared" si="3"/>
        <v>0.33731326795582345</v>
      </c>
    </row>
    <row r="20" spans="1:11" x14ac:dyDescent="0.25">
      <c r="A20" s="398">
        <v>16</v>
      </c>
      <c r="B20" s="399">
        <v>6722892.4869419495</v>
      </c>
      <c r="C20" s="485">
        <v>545253.6</v>
      </c>
      <c r="D20" s="489">
        <v>698286</v>
      </c>
      <c r="E20" s="488">
        <f>'GAL SULCIS_GAL TERRAS DE OLIA'!N18</f>
        <v>7386586.1799999997</v>
      </c>
      <c r="F20" s="403">
        <f t="shared" si="0"/>
        <v>8084872.1799999997</v>
      </c>
      <c r="G20" s="404">
        <f t="shared" si="1"/>
        <v>1.2025883495390501</v>
      </c>
      <c r="H20" s="530">
        <v>184549.19</v>
      </c>
      <c r="I20" s="488">
        <f>'GAL SULCIS_GAL TERRAS DE OLIA'!U18</f>
        <v>1026667.02</v>
      </c>
      <c r="J20" s="403">
        <f t="shared" si="2"/>
        <v>1211216.21</v>
      </c>
      <c r="K20" s="404">
        <f t="shared" si="3"/>
        <v>0.18016295996887902</v>
      </c>
    </row>
    <row r="21" spans="1:11" x14ac:dyDescent="0.25">
      <c r="A21" s="398">
        <v>17</v>
      </c>
      <c r="B21" s="399">
        <v>4313513.5080657313</v>
      </c>
      <c r="C21" s="485">
        <v>100000</v>
      </c>
      <c r="D21" s="489">
        <v>120984</v>
      </c>
      <c r="E21" s="488">
        <f>'GAL SULCIS_GAL TERRAS DE OLIA'!N43</f>
        <v>4419614.1900000004</v>
      </c>
      <c r="F21" s="403">
        <f t="shared" si="0"/>
        <v>4540598.1900000004</v>
      </c>
      <c r="G21" s="404">
        <f>F21/B21</f>
        <v>1.0526449451264379</v>
      </c>
      <c r="H21" s="530">
        <v>49610.18</v>
      </c>
      <c r="I21" s="488">
        <f>'GAL SULCIS_GAL TERRAS DE OLIA'!U43</f>
        <v>1946608.49</v>
      </c>
      <c r="J21" s="403">
        <f t="shared" si="2"/>
        <v>1996218.67</v>
      </c>
      <c r="K21" s="404">
        <f t="shared" si="3"/>
        <v>0.46278252433134159</v>
      </c>
    </row>
    <row r="22" spans="1:11" x14ac:dyDescent="0.25">
      <c r="A22" s="19" t="s">
        <v>128</v>
      </c>
      <c r="B22" s="391">
        <f t="shared" ref="B22" si="4">SUM(B5:B21)</f>
        <v>78729496.424594223</v>
      </c>
      <c r="C22" s="487">
        <f>SUM(C5:C21)</f>
        <v>6962967.4600000009</v>
      </c>
      <c r="D22" s="405">
        <f>SUM(D5:D21)</f>
        <v>8115151.9700000007</v>
      </c>
      <c r="E22" s="405">
        <f t="shared" ref="E22:F22" si="5">SUM(E5:E21)</f>
        <v>66299629.069999993</v>
      </c>
      <c r="F22" s="405">
        <f t="shared" si="5"/>
        <v>74414781.039999992</v>
      </c>
      <c r="G22" s="406">
        <f>F22/B22</f>
        <v>0.94519569436435058</v>
      </c>
      <c r="H22" s="405">
        <f>SUM(H5:H21)</f>
        <v>1639639.01</v>
      </c>
      <c r="I22" s="405">
        <f>SUM(I5:I21)-333799.51</f>
        <v>25712903.75</v>
      </c>
      <c r="J22" s="405">
        <f t="shared" si="2"/>
        <v>27352542.760000002</v>
      </c>
      <c r="K22" s="406">
        <f>J22/B22</f>
        <v>0.34742433271115614</v>
      </c>
    </row>
    <row r="23" spans="1:11" ht="36.6" customHeight="1" x14ac:dyDescent="0.25">
      <c r="A23" s="1117" t="s">
        <v>764</v>
      </c>
      <c r="B23" s="1117"/>
      <c r="C23" s="1117"/>
      <c r="D23" s="1117"/>
      <c r="E23" s="1117"/>
      <c r="F23" s="1117"/>
      <c r="G23" s="1117"/>
      <c r="H23" s="1117"/>
      <c r="I23" s="1117"/>
      <c r="J23" s="1117"/>
      <c r="K23" s="1117"/>
    </row>
  </sheetData>
  <mergeCells count="2">
    <mergeCell ref="A1:K1"/>
    <mergeCell ref="A23:K23"/>
  </mergeCells>
  <pageMargins left="0.7" right="0.7" top="0.75" bottom="0.75" header="0.3" footer="0.3"/>
  <pageSetup paperSize="9" scale="6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A15"/>
  <sheetViews>
    <sheetView view="pageBreakPreview" zoomScaleNormal="100" zoomScaleSheetLayoutView="100" workbookViewId="0">
      <selection activeCell="R10" sqref="R10"/>
    </sheetView>
  </sheetViews>
  <sheetFormatPr defaultRowHeight="15" x14ac:dyDescent="0.25"/>
  <cols>
    <col min="1" max="1" width="7.85546875" customWidth="1"/>
    <col min="2" max="2" width="15.7109375" customWidth="1"/>
    <col min="3" max="3" width="5.140625" customWidth="1"/>
    <col min="4" max="4" width="9.7109375" customWidth="1"/>
    <col min="5" max="5" width="9.140625" customWidth="1"/>
    <col min="6" max="6" width="3.140625" bestFit="1" customWidth="1"/>
    <col min="8" max="8" width="3.140625" bestFit="1" customWidth="1"/>
    <col min="9" max="9" width="4.5703125" bestFit="1" customWidth="1"/>
    <col min="10" max="10" width="3.140625" bestFit="1" customWidth="1"/>
    <col min="12" max="12" width="3.7109375" customWidth="1"/>
    <col min="13" max="13" width="3.140625" bestFit="1" customWidth="1"/>
    <col min="15" max="15" width="3.140625" bestFit="1" customWidth="1"/>
    <col min="16" max="16" width="6.42578125" bestFit="1" customWidth="1"/>
    <col min="17" max="17" width="9.5703125" customWidth="1"/>
    <col min="18" max="18" width="3.28515625" customWidth="1"/>
    <col min="19" max="19" width="8.28515625" customWidth="1"/>
    <col min="20" max="20" width="4.140625" customWidth="1"/>
    <col min="21" max="21" width="7.5703125" customWidth="1"/>
    <col min="22" max="22" width="10" bestFit="1" customWidth="1"/>
    <col min="23" max="23" width="16.28515625" customWidth="1"/>
  </cols>
  <sheetData>
    <row r="1" spans="1:27" s="12" customFormat="1" ht="11.25" x14ac:dyDescent="0.2">
      <c r="A1" s="1125" t="s">
        <v>640</v>
      </c>
      <c r="B1" s="1125"/>
      <c r="C1" s="1126"/>
      <c r="D1" s="1125"/>
      <c r="E1" s="1125"/>
      <c r="F1" s="1125"/>
      <c r="G1" s="1125"/>
      <c r="H1" s="1126"/>
      <c r="I1" s="1126"/>
      <c r="J1" s="1125"/>
      <c r="K1" s="1125"/>
      <c r="L1" s="1125"/>
      <c r="M1" s="1125"/>
      <c r="N1" s="1125"/>
      <c r="O1" s="1125"/>
      <c r="P1" s="1125"/>
      <c r="Q1" s="1125"/>
      <c r="R1" s="1125"/>
      <c r="S1" s="1125"/>
      <c r="T1" s="1125"/>
      <c r="U1" s="1125"/>
      <c r="W1" s="92"/>
    </row>
    <row r="2" spans="1:27" s="12" customFormat="1"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V2" s="92"/>
      <c r="W2" s="92"/>
    </row>
    <row r="3" spans="1:27" s="12" customFormat="1"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V3" s="92"/>
      <c r="W3" s="92"/>
    </row>
    <row r="4" spans="1:27" s="12" customFormat="1"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V4" s="92"/>
      <c r="W4" s="92"/>
    </row>
    <row r="5" spans="1:27" s="12" customFormat="1" ht="21.75"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V5" s="92"/>
      <c r="W5" s="92"/>
    </row>
    <row r="6" spans="1:27" s="92" customFormat="1" ht="56.25" x14ac:dyDescent="0.2">
      <c r="A6" s="357" t="s">
        <v>539</v>
      </c>
      <c r="B6" s="358" t="s">
        <v>324</v>
      </c>
      <c r="C6" s="356">
        <v>50221</v>
      </c>
      <c r="D6" s="350">
        <v>342211.46</v>
      </c>
      <c r="E6" s="343">
        <v>44407</v>
      </c>
      <c r="F6" s="342">
        <v>8</v>
      </c>
      <c r="G6" s="342">
        <v>394124.97</v>
      </c>
      <c r="H6" s="342">
        <v>0</v>
      </c>
      <c r="I6" s="342">
        <v>0</v>
      </c>
      <c r="J6" s="342">
        <v>7</v>
      </c>
      <c r="K6" s="342">
        <v>342211.45</v>
      </c>
      <c r="L6" s="342">
        <v>7</v>
      </c>
      <c r="M6" s="342">
        <v>7</v>
      </c>
      <c r="N6" s="342">
        <v>342211.45</v>
      </c>
      <c r="O6" s="342">
        <v>1</v>
      </c>
      <c r="P6" s="342">
        <v>50000</v>
      </c>
      <c r="Q6" s="366">
        <f>K6-N6</f>
        <v>0</v>
      </c>
      <c r="R6" s="342">
        <v>6</v>
      </c>
      <c r="S6" s="342">
        <v>233477.47</v>
      </c>
      <c r="T6" s="342">
        <v>6</v>
      </c>
      <c r="U6" s="342">
        <v>232881.56</v>
      </c>
      <c r="V6" s="248"/>
    </row>
    <row r="7" spans="1:27" s="92" customFormat="1" ht="56.25" x14ac:dyDescent="0.2">
      <c r="A7" s="357" t="s">
        <v>242</v>
      </c>
      <c r="B7" s="358" t="s">
        <v>325</v>
      </c>
      <c r="C7" s="356">
        <v>48963</v>
      </c>
      <c r="D7" s="350">
        <v>615000</v>
      </c>
      <c r="E7" s="343">
        <v>44267</v>
      </c>
      <c r="F7" s="342">
        <v>18</v>
      </c>
      <c r="G7" s="342">
        <v>738000</v>
      </c>
      <c r="H7" s="342">
        <v>0</v>
      </c>
      <c r="I7" s="342">
        <v>0</v>
      </c>
      <c r="J7" s="342">
        <v>15</v>
      </c>
      <c r="K7" s="342">
        <v>615000</v>
      </c>
      <c r="L7" s="342">
        <v>15</v>
      </c>
      <c r="M7" s="342">
        <v>15</v>
      </c>
      <c r="N7" s="342">
        <v>615000</v>
      </c>
      <c r="O7" s="342">
        <v>1</v>
      </c>
      <c r="P7" s="342">
        <v>41000</v>
      </c>
      <c r="Q7" s="366">
        <f t="shared" ref="Q7:Q12" si="0">K7-N7</f>
        <v>0</v>
      </c>
      <c r="R7" s="342">
        <v>22</v>
      </c>
      <c r="S7" s="342">
        <v>548700</v>
      </c>
      <c r="T7" s="342">
        <v>20</v>
      </c>
      <c r="U7" s="342">
        <v>507700</v>
      </c>
    </row>
    <row r="8" spans="1:27" s="92" customFormat="1" ht="56.25" x14ac:dyDescent="0.2">
      <c r="A8" s="357" t="s">
        <v>538</v>
      </c>
      <c r="B8" s="358" t="s">
        <v>373</v>
      </c>
      <c r="C8" s="356">
        <v>51822</v>
      </c>
      <c r="D8" s="350">
        <v>103091.44</v>
      </c>
      <c r="E8" s="343">
        <v>44407</v>
      </c>
      <c r="F8" s="342">
        <v>4</v>
      </c>
      <c r="G8" s="342">
        <v>141836.84</v>
      </c>
      <c r="H8" s="342">
        <v>0</v>
      </c>
      <c r="I8" s="342">
        <v>0</v>
      </c>
      <c r="J8" s="342">
        <v>3</v>
      </c>
      <c r="K8" s="342">
        <v>103091.44</v>
      </c>
      <c r="L8" s="342">
        <v>3</v>
      </c>
      <c r="M8" s="342">
        <v>3</v>
      </c>
      <c r="N8" s="342">
        <v>103091.44</v>
      </c>
      <c r="O8" s="342">
        <v>1</v>
      </c>
      <c r="P8" s="342">
        <v>38745</v>
      </c>
      <c r="Q8" s="366">
        <f t="shared" si="0"/>
        <v>0</v>
      </c>
      <c r="R8" s="342">
        <v>2</v>
      </c>
      <c r="S8" s="342">
        <v>62999.34</v>
      </c>
      <c r="T8" s="342">
        <v>2</v>
      </c>
      <c r="U8" s="342">
        <v>62969.770000000004</v>
      </c>
    </row>
    <row r="9" spans="1:27" s="92" customFormat="1" ht="67.5" x14ac:dyDescent="0.2">
      <c r="A9" s="357" t="s">
        <v>538</v>
      </c>
      <c r="B9" s="358" t="s">
        <v>372</v>
      </c>
      <c r="C9" s="356">
        <v>51804</v>
      </c>
      <c r="D9" s="350">
        <v>1636411.71</v>
      </c>
      <c r="E9" s="343">
        <v>44407</v>
      </c>
      <c r="F9" s="342">
        <v>35</v>
      </c>
      <c r="G9" s="342">
        <v>1735911.71</v>
      </c>
      <c r="H9" s="342">
        <v>0</v>
      </c>
      <c r="I9" s="342">
        <v>0</v>
      </c>
      <c r="J9" s="342">
        <v>33</v>
      </c>
      <c r="K9" s="342">
        <v>1623266.58</v>
      </c>
      <c r="L9" s="342">
        <v>33</v>
      </c>
      <c r="M9" s="342">
        <v>33</v>
      </c>
      <c r="N9" s="342">
        <v>1623266.58</v>
      </c>
      <c r="O9" s="342">
        <v>2</v>
      </c>
      <c r="P9" s="342">
        <v>99500</v>
      </c>
      <c r="Q9" s="366">
        <f>K9-N9</f>
        <v>0</v>
      </c>
      <c r="R9" s="342">
        <v>38</v>
      </c>
      <c r="S9" s="342">
        <v>1274796.4800000002</v>
      </c>
      <c r="T9" s="342">
        <v>37</v>
      </c>
      <c r="U9" s="342">
        <v>1242027.56</v>
      </c>
    </row>
    <row r="10" spans="1:27" s="92" customFormat="1" ht="67.5" x14ac:dyDescent="0.2">
      <c r="A10" s="357" t="s">
        <v>245</v>
      </c>
      <c r="B10" s="347" t="s">
        <v>465</v>
      </c>
      <c r="C10" s="356">
        <v>67701</v>
      </c>
      <c r="D10" s="351">
        <v>599317.88</v>
      </c>
      <c r="E10" s="343">
        <v>44914</v>
      </c>
      <c r="F10" s="342">
        <v>6</v>
      </c>
      <c r="G10" s="342">
        <v>709291.45</v>
      </c>
      <c r="H10" s="342">
        <v>0</v>
      </c>
      <c r="I10" s="342">
        <v>0</v>
      </c>
      <c r="J10" s="342">
        <v>5</v>
      </c>
      <c r="K10" s="351">
        <v>643624.35</v>
      </c>
      <c r="L10" s="342">
        <v>5</v>
      </c>
      <c r="M10" s="342">
        <v>5</v>
      </c>
      <c r="N10" s="342">
        <v>643624.35</v>
      </c>
      <c r="O10" s="342">
        <v>1</v>
      </c>
      <c r="P10" s="342">
        <v>26177.08</v>
      </c>
      <c r="Q10" s="366">
        <f t="shared" si="0"/>
        <v>0</v>
      </c>
      <c r="R10" s="342">
        <v>5</v>
      </c>
      <c r="S10" s="342">
        <v>596589.59</v>
      </c>
      <c r="T10" s="342">
        <v>0</v>
      </c>
      <c r="U10" s="342">
        <v>0</v>
      </c>
    </row>
    <row r="11" spans="1:27" s="92" customFormat="1" ht="90" x14ac:dyDescent="0.2">
      <c r="A11" s="357" t="s">
        <v>275</v>
      </c>
      <c r="B11" s="355" t="s">
        <v>550</v>
      </c>
      <c r="C11" s="356">
        <v>72452</v>
      </c>
      <c r="D11" s="350">
        <v>744079.99</v>
      </c>
      <c r="E11" s="360">
        <v>45206</v>
      </c>
      <c r="F11" s="342">
        <v>10</v>
      </c>
      <c r="G11" s="342">
        <v>597801.61</v>
      </c>
      <c r="H11" s="342">
        <v>0</v>
      </c>
      <c r="I11" s="342">
        <v>0</v>
      </c>
      <c r="J11" s="342">
        <v>9</v>
      </c>
      <c r="K11" s="342">
        <v>482473.54</v>
      </c>
      <c r="L11" s="342">
        <v>9</v>
      </c>
      <c r="M11" s="342">
        <v>9</v>
      </c>
      <c r="N11" s="342">
        <v>482473.55</v>
      </c>
      <c r="O11" s="342">
        <v>1</v>
      </c>
      <c r="P11" s="342">
        <v>69995.399999999994</v>
      </c>
      <c r="Q11" s="366">
        <f t="shared" si="0"/>
        <v>-1.0000000009313226E-2</v>
      </c>
      <c r="R11" s="342">
        <v>9</v>
      </c>
      <c r="S11" s="342">
        <v>280156.45</v>
      </c>
      <c r="T11" s="342">
        <v>3</v>
      </c>
      <c r="U11" s="342">
        <v>86020</v>
      </c>
    </row>
    <row r="12" spans="1:27" s="92" customFormat="1" ht="146.25" x14ac:dyDescent="0.2">
      <c r="A12" s="357" t="s">
        <v>273</v>
      </c>
      <c r="B12" s="503" t="s">
        <v>713</v>
      </c>
      <c r="C12" s="356">
        <v>87864</v>
      </c>
      <c r="D12" s="504">
        <v>498716.15</v>
      </c>
      <c r="E12" s="343">
        <v>45876</v>
      </c>
      <c r="F12" s="342">
        <v>9</v>
      </c>
      <c r="G12" s="342">
        <v>621095.84000000008</v>
      </c>
      <c r="H12" s="342">
        <v>0</v>
      </c>
      <c r="I12" s="342">
        <v>0</v>
      </c>
      <c r="J12" s="342">
        <v>9</v>
      </c>
      <c r="K12" s="342">
        <v>621095.84000000008</v>
      </c>
      <c r="L12" s="342">
        <v>8</v>
      </c>
      <c r="M12" s="342">
        <v>0</v>
      </c>
      <c r="N12" s="342">
        <v>0</v>
      </c>
      <c r="O12" s="342">
        <v>0</v>
      </c>
      <c r="P12" s="342">
        <v>0</v>
      </c>
      <c r="Q12" s="366">
        <f t="shared" si="0"/>
        <v>621095.84000000008</v>
      </c>
      <c r="R12" s="342">
        <v>0</v>
      </c>
      <c r="S12" s="342">
        <v>0</v>
      </c>
      <c r="T12" s="342">
        <v>0</v>
      </c>
      <c r="U12" s="342">
        <v>0</v>
      </c>
    </row>
    <row r="13" spans="1:27" s="12" customFormat="1" ht="11.25" x14ac:dyDescent="0.2">
      <c r="A13" s="19" t="s">
        <v>1</v>
      </c>
      <c r="B13" s="19"/>
      <c r="C13" s="59"/>
      <c r="D13" s="20">
        <f>SUM(D6:D12)</f>
        <v>4538828.63</v>
      </c>
      <c r="E13" s="20"/>
      <c r="F13" s="20">
        <f t="shared" ref="F13:U13" si="1">SUM(F6:F12)</f>
        <v>90</v>
      </c>
      <c r="G13" s="20">
        <f t="shared" si="1"/>
        <v>4938062.42</v>
      </c>
      <c r="H13" s="20">
        <f t="shared" si="1"/>
        <v>0</v>
      </c>
      <c r="I13" s="20">
        <f t="shared" si="1"/>
        <v>0</v>
      </c>
      <c r="J13" s="20">
        <f t="shared" si="1"/>
        <v>81</v>
      </c>
      <c r="K13" s="20">
        <f t="shared" si="1"/>
        <v>4430763.2</v>
      </c>
      <c r="L13" s="20">
        <f t="shared" si="1"/>
        <v>80</v>
      </c>
      <c r="M13" s="20">
        <f t="shared" si="1"/>
        <v>72</v>
      </c>
      <c r="N13" s="20">
        <f t="shared" si="1"/>
        <v>3809667.3699999996</v>
      </c>
      <c r="O13" s="20">
        <f t="shared" si="1"/>
        <v>7</v>
      </c>
      <c r="P13" s="20">
        <f t="shared" si="1"/>
        <v>325417.48</v>
      </c>
      <c r="Q13" s="20">
        <f t="shared" si="1"/>
        <v>621095.83000000007</v>
      </c>
      <c r="R13" s="20">
        <f t="shared" si="1"/>
        <v>82</v>
      </c>
      <c r="S13" s="20">
        <f t="shared" si="1"/>
        <v>2996719.33</v>
      </c>
      <c r="T13" s="20">
        <f t="shared" si="1"/>
        <v>68</v>
      </c>
      <c r="U13" s="20">
        <f t="shared" si="1"/>
        <v>2131598.89</v>
      </c>
      <c r="W13" s="92"/>
    </row>
    <row r="14" spans="1:27" ht="15" customHeight="1" x14ac:dyDescent="0.25">
      <c r="A14" s="210" t="s">
        <v>390</v>
      </c>
      <c r="B14" s="134"/>
      <c r="C14" s="134"/>
      <c r="D14" s="134"/>
      <c r="E14" s="134"/>
      <c r="F14" s="134"/>
      <c r="G14" s="134"/>
      <c r="H14" s="134"/>
      <c r="I14" s="134"/>
      <c r="J14" s="134"/>
      <c r="K14" s="134"/>
      <c r="L14" s="134"/>
      <c r="M14" s="134"/>
      <c r="N14" s="134"/>
      <c r="O14" s="134"/>
      <c r="P14" s="134"/>
      <c r="Q14" s="134"/>
      <c r="R14" s="134"/>
    </row>
    <row r="15" spans="1:27" s="206" customFormat="1" ht="35.450000000000003" customHeight="1" x14ac:dyDescent="0.25">
      <c r="A15" s="1124" t="s">
        <v>744</v>
      </c>
      <c r="B15" s="1124"/>
      <c r="C15" s="1124"/>
      <c r="D15" s="1124"/>
      <c r="E15" s="1124"/>
      <c r="F15" s="1124"/>
      <c r="G15" s="1124"/>
      <c r="H15" s="1124"/>
      <c r="I15" s="1124"/>
      <c r="J15" s="1124"/>
      <c r="K15" s="1124"/>
      <c r="L15" s="1124"/>
      <c r="M15" s="1124"/>
      <c r="N15" s="1124"/>
      <c r="O15" s="1124"/>
      <c r="P15" s="1124"/>
      <c r="Q15" s="1124"/>
      <c r="R15" s="1124"/>
      <c r="S15" s="1124"/>
      <c r="T15" s="1124"/>
      <c r="U15" s="1124"/>
      <c r="V15" s="387"/>
      <c r="W15" s="387"/>
      <c r="X15" s="387"/>
      <c r="Y15" s="387"/>
      <c r="Z15" s="387"/>
      <c r="AA15" s="387"/>
    </row>
  </sheetData>
  <mergeCells count="18">
    <mergeCell ref="L3:N3"/>
    <mergeCell ref="O3:P4"/>
    <mergeCell ref="L4:L5"/>
    <mergeCell ref="M4:N4"/>
    <mergeCell ref="A15:U15"/>
    <mergeCell ref="H2:I4"/>
    <mergeCell ref="A1:U1"/>
    <mergeCell ref="A2:A5"/>
    <mergeCell ref="B2:B5"/>
    <mergeCell ref="C2:C5"/>
    <mergeCell ref="D2:D5"/>
    <mergeCell ref="E2:E5"/>
    <mergeCell ref="F2:G4"/>
    <mergeCell ref="J2:K4"/>
    <mergeCell ref="L2:P2"/>
    <mergeCell ref="Q2:Q4"/>
    <mergeCell ref="R2:S4"/>
    <mergeCell ref="T2:U4"/>
  </mergeCell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Z37"/>
  <sheetViews>
    <sheetView view="pageBreakPreview" topLeftCell="C24" zoomScaleNormal="100" zoomScaleSheetLayoutView="100" workbookViewId="0">
      <selection activeCell="R28" sqref="R28:S28"/>
    </sheetView>
  </sheetViews>
  <sheetFormatPr defaultColWidth="8.7109375" defaultRowHeight="11.25" x14ac:dyDescent="0.2"/>
  <cols>
    <col min="1" max="1" width="5.5703125" style="12" customWidth="1"/>
    <col min="2" max="2" width="17.5703125" style="12" customWidth="1"/>
    <col min="3" max="3" width="5.5703125" style="12" customWidth="1"/>
    <col min="4" max="4" width="9.85546875" style="12" customWidth="1"/>
    <col min="5" max="5" width="8.7109375" style="12"/>
    <col min="6" max="6" width="4.140625" style="12" customWidth="1"/>
    <col min="7" max="7" width="8.7109375" style="12" customWidth="1"/>
    <col min="8" max="8" width="3.140625" style="12" bestFit="1" customWidth="1"/>
    <col min="9" max="9" width="6.85546875" style="12" customWidth="1"/>
    <col min="10" max="10" width="3.140625" style="12" bestFit="1" customWidth="1"/>
    <col min="11" max="11" width="9.28515625" style="12" customWidth="1"/>
    <col min="12" max="13" width="3.140625" style="12" bestFit="1" customWidth="1"/>
    <col min="14" max="14" width="8.7109375" style="12"/>
    <col min="15" max="15" width="3.140625" style="12" bestFit="1" customWidth="1"/>
    <col min="16" max="16" width="7.5703125" style="12" customWidth="1"/>
    <col min="17" max="17" width="8.7109375" style="12" customWidth="1"/>
    <col min="18" max="18" width="3.140625" style="12" bestFit="1" customWidth="1"/>
    <col min="19" max="19" width="8.7109375" style="12"/>
    <col min="20" max="20" width="3.140625" style="12" bestFit="1" customWidth="1"/>
    <col min="21" max="21" width="8.7109375" style="12"/>
    <col min="22" max="22" width="8.7109375" style="92"/>
    <col min="23" max="16384" width="8.7109375" style="12"/>
  </cols>
  <sheetData>
    <row r="1" spans="1:26" x14ac:dyDescent="0.2">
      <c r="A1" s="1125" t="s">
        <v>641</v>
      </c>
      <c r="B1" s="1125"/>
      <c r="C1" s="1126"/>
      <c r="D1" s="1125"/>
      <c r="E1" s="1125"/>
      <c r="F1" s="1125"/>
      <c r="G1" s="1125"/>
      <c r="H1" s="1126"/>
      <c r="I1" s="1126"/>
      <c r="J1" s="1125"/>
      <c r="K1" s="1125"/>
      <c r="L1" s="1125"/>
      <c r="M1" s="1125"/>
      <c r="N1" s="1125"/>
      <c r="O1" s="1125"/>
      <c r="P1" s="1125"/>
      <c r="Q1" s="1125"/>
      <c r="R1" s="1125"/>
      <c r="S1" s="1125"/>
      <c r="T1" s="1125"/>
      <c r="U1" s="1125"/>
    </row>
    <row r="2" spans="1:26"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W2" s="92"/>
    </row>
    <row r="3" spans="1:26"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W3" s="92"/>
    </row>
    <row r="4" spans="1:26"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W4" s="92"/>
    </row>
    <row r="5" spans="1:26" ht="21.75"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W5" s="92"/>
    </row>
    <row r="6" spans="1:26" s="92" customFormat="1" ht="22.5" x14ac:dyDescent="0.2">
      <c r="A6" s="1" t="s">
        <v>238</v>
      </c>
      <c r="B6" s="239" t="s">
        <v>239</v>
      </c>
      <c r="C6" s="146">
        <v>19241</v>
      </c>
      <c r="D6" s="428">
        <v>389069.74000000005</v>
      </c>
      <c r="E6" s="147">
        <v>43444</v>
      </c>
      <c r="F6" s="407">
        <v>7</v>
      </c>
      <c r="G6" s="366">
        <v>540001</v>
      </c>
      <c r="H6" s="342">
        <v>0</v>
      </c>
      <c r="I6" s="342">
        <v>0</v>
      </c>
      <c r="J6" s="400">
        <v>7</v>
      </c>
      <c r="K6" s="366">
        <v>467130.35999999993</v>
      </c>
      <c r="L6" s="342">
        <v>7</v>
      </c>
      <c r="M6" s="342">
        <v>7</v>
      </c>
      <c r="N6" s="366">
        <v>467130.35999999993</v>
      </c>
      <c r="O6" s="342">
        <v>0</v>
      </c>
      <c r="P6" s="342">
        <v>0</v>
      </c>
      <c r="Q6" s="366">
        <f t="shared" ref="Q6:Q18" si="0">K6-N6</f>
        <v>0</v>
      </c>
      <c r="R6" s="342">
        <v>7</v>
      </c>
      <c r="S6" s="342">
        <v>389811.49</v>
      </c>
      <c r="T6" s="342">
        <v>7</v>
      </c>
      <c r="U6" s="342">
        <v>389069.74000000005</v>
      </c>
    </row>
    <row r="7" spans="1:26" s="92" customFormat="1" ht="56.25" x14ac:dyDescent="0.2">
      <c r="A7" s="1" t="s">
        <v>482</v>
      </c>
      <c r="B7" s="239" t="s">
        <v>240</v>
      </c>
      <c r="C7" s="146">
        <v>25782</v>
      </c>
      <c r="D7" s="428">
        <v>194408.02</v>
      </c>
      <c r="E7" s="147">
        <v>43614</v>
      </c>
      <c r="F7" s="366">
        <v>1</v>
      </c>
      <c r="G7" s="366">
        <v>200555.72</v>
      </c>
      <c r="H7" s="342">
        <v>0</v>
      </c>
      <c r="I7" s="342">
        <v>0</v>
      </c>
      <c r="J7" s="408">
        <v>1</v>
      </c>
      <c r="K7" s="352">
        <v>194408.02</v>
      </c>
      <c r="L7" s="342">
        <v>1</v>
      </c>
      <c r="M7" s="342">
        <v>1</v>
      </c>
      <c r="N7" s="352">
        <v>194408.02</v>
      </c>
      <c r="O7" s="342">
        <v>0</v>
      </c>
      <c r="P7" s="342">
        <v>0</v>
      </c>
      <c r="Q7" s="366">
        <f t="shared" si="0"/>
        <v>0</v>
      </c>
      <c r="R7" s="342">
        <v>3</v>
      </c>
      <c r="S7" s="342">
        <v>179820.14</v>
      </c>
      <c r="T7" s="342">
        <v>3</v>
      </c>
      <c r="U7" s="342">
        <v>175310.94</v>
      </c>
    </row>
    <row r="8" spans="1:26" s="92" customFormat="1" ht="45" x14ac:dyDescent="0.2">
      <c r="A8" s="187" t="s">
        <v>242</v>
      </c>
      <c r="B8" s="239" t="s">
        <v>423</v>
      </c>
      <c r="C8" s="146">
        <v>36943</v>
      </c>
      <c r="D8" s="428">
        <v>280000</v>
      </c>
      <c r="E8" s="147">
        <v>43843</v>
      </c>
      <c r="F8" s="366">
        <v>8</v>
      </c>
      <c r="G8" s="366">
        <v>280000</v>
      </c>
      <c r="H8" s="342">
        <v>0</v>
      </c>
      <c r="I8" s="342">
        <v>0</v>
      </c>
      <c r="J8" s="408">
        <v>8</v>
      </c>
      <c r="K8" s="366">
        <v>280000</v>
      </c>
      <c r="L8" s="342">
        <v>8</v>
      </c>
      <c r="M8" s="366">
        <v>8</v>
      </c>
      <c r="N8" s="366">
        <v>280000</v>
      </c>
      <c r="O8" s="342">
        <v>0</v>
      </c>
      <c r="P8" s="342">
        <v>0</v>
      </c>
      <c r="Q8" s="366">
        <f t="shared" si="0"/>
        <v>0</v>
      </c>
      <c r="R8" s="342">
        <v>16</v>
      </c>
      <c r="S8" s="342">
        <v>280000</v>
      </c>
      <c r="T8" s="342">
        <v>16</v>
      </c>
      <c r="U8" s="342">
        <v>280000</v>
      </c>
    </row>
    <row r="9" spans="1:26" s="92" customFormat="1" ht="33.75" x14ac:dyDescent="0.2">
      <c r="A9" s="357" t="s">
        <v>538</v>
      </c>
      <c r="B9" s="239" t="s">
        <v>424</v>
      </c>
      <c r="C9" s="146">
        <v>37121</v>
      </c>
      <c r="D9" s="428">
        <v>111377.68</v>
      </c>
      <c r="E9" s="147">
        <v>43843</v>
      </c>
      <c r="F9" s="342">
        <v>8</v>
      </c>
      <c r="G9" s="342">
        <v>183870.02</v>
      </c>
      <c r="H9" s="342">
        <v>1</v>
      </c>
      <c r="I9" s="342">
        <v>11229.71</v>
      </c>
      <c r="J9" s="409">
        <v>5</v>
      </c>
      <c r="K9" s="352">
        <v>126207.87</v>
      </c>
      <c r="L9" s="342">
        <v>5</v>
      </c>
      <c r="M9" s="342">
        <v>5</v>
      </c>
      <c r="N9" s="352">
        <v>126207.87</v>
      </c>
      <c r="O9" s="342">
        <v>2</v>
      </c>
      <c r="P9" s="342">
        <v>37998</v>
      </c>
      <c r="Q9" s="366">
        <f t="shared" si="0"/>
        <v>0</v>
      </c>
      <c r="R9" s="342">
        <v>7</v>
      </c>
      <c r="S9" s="342">
        <v>111375.84</v>
      </c>
      <c r="T9" s="342">
        <v>7</v>
      </c>
      <c r="U9" s="342">
        <v>111375.59999999999</v>
      </c>
    </row>
    <row r="10" spans="1:26" s="92" customFormat="1" ht="22.5" x14ac:dyDescent="0.2">
      <c r="A10" s="187" t="s">
        <v>482</v>
      </c>
      <c r="B10" s="239" t="s">
        <v>333</v>
      </c>
      <c r="C10" s="146">
        <v>47983</v>
      </c>
      <c r="D10" s="428">
        <v>42853.57</v>
      </c>
      <c r="E10" s="147">
        <v>44245</v>
      </c>
      <c r="F10" s="342">
        <v>1</v>
      </c>
      <c r="G10" s="342">
        <v>45000</v>
      </c>
      <c r="H10" s="342">
        <v>0</v>
      </c>
      <c r="I10" s="342">
        <v>0</v>
      </c>
      <c r="J10" s="410">
        <v>1</v>
      </c>
      <c r="K10" s="352">
        <v>44908.62</v>
      </c>
      <c r="L10" s="342">
        <v>1</v>
      </c>
      <c r="M10" s="342">
        <v>1</v>
      </c>
      <c r="N10" s="342">
        <v>44908.62</v>
      </c>
      <c r="O10" s="342">
        <v>0</v>
      </c>
      <c r="P10" s="342">
        <v>0</v>
      </c>
      <c r="Q10" s="366">
        <f t="shared" si="0"/>
        <v>0</v>
      </c>
      <c r="R10" s="342">
        <v>2</v>
      </c>
      <c r="S10" s="342">
        <v>44894.34</v>
      </c>
      <c r="T10" s="342">
        <v>2</v>
      </c>
      <c r="U10" s="342">
        <v>42853.57</v>
      </c>
    </row>
    <row r="11" spans="1:26" s="92" customFormat="1" ht="56.25" x14ac:dyDescent="0.2">
      <c r="A11" s="1" t="s">
        <v>482</v>
      </c>
      <c r="B11" s="239" t="s">
        <v>240</v>
      </c>
      <c r="C11" s="146">
        <v>53003</v>
      </c>
      <c r="D11" s="428">
        <v>159285</v>
      </c>
      <c r="E11" s="147">
        <v>44496</v>
      </c>
      <c r="F11" s="342">
        <v>1</v>
      </c>
      <c r="G11" s="342">
        <v>160000</v>
      </c>
      <c r="H11" s="342">
        <v>0</v>
      </c>
      <c r="I11" s="342">
        <v>0</v>
      </c>
      <c r="J11" s="410">
        <v>1</v>
      </c>
      <c r="K11" s="352">
        <v>159285</v>
      </c>
      <c r="L11" s="342">
        <v>1</v>
      </c>
      <c r="M11" s="342">
        <v>1</v>
      </c>
      <c r="N11" s="342">
        <v>159285</v>
      </c>
      <c r="O11" s="342">
        <v>0</v>
      </c>
      <c r="P11" s="342">
        <v>0</v>
      </c>
      <c r="Q11" s="366">
        <f t="shared" si="0"/>
        <v>0</v>
      </c>
      <c r="R11" s="342">
        <v>2</v>
      </c>
      <c r="S11" s="342">
        <v>154637.38</v>
      </c>
      <c r="T11" s="342">
        <v>1</v>
      </c>
      <c r="U11" s="342">
        <v>93392.65</v>
      </c>
    </row>
    <row r="12" spans="1:26" s="92" customFormat="1" ht="30.6" customHeight="1" x14ac:dyDescent="0.2">
      <c r="A12" s="187" t="s">
        <v>242</v>
      </c>
      <c r="B12" s="240" t="s">
        <v>425</v>
      </c>
      <c r="C12" s="146">
        <v>60203</v>
      </c>
      <c r="D12" s="428">
        <v>315000</v>
      </c>
      <c r="E12" s="147">
        <v>44651</v>
      </c>
      <c r="F12" s="342">
        <v>13</v>
      </c>
      <c r="G12" s="342">
        <v>455000</v>
      </c>
      <c r="H12" s="342">
        <v>1</v>
      </c>
      <c r="I12" s="342">
        <v>35000</v>
      </c>
      <c r="J12" s="410">
        <v>10</v>
      </c>
      <c r="K12" s="352">
        <v>350000</v>
      </c>
      <c r="L12" s="342">
        <v>10</v>
      </c>
      <c r="M12" s="342">
        <v>10</v>
      </c>
      <c r="N12" s="342">
        <v>350000</v>
      </c>
      <c r="O12" s="342">
        <v>2</v>
      </c>
      <c r="P12" s="342">
        <v>70000</v>
      </c>
      <c r="Q12" s="366">
        <f t="shared" si="0"/>
        <v>0</v>
      </c>
      <c r="R12" s="342">
        <v>18</v>
      </c>
      <c r="S12" s="342">
        <v>315000</v>
      </c>
      <c r="T12" s="342">
        <v>18</v>
      </c>
      <c r="U12" s="342">
        <v>315000</v>
      </c>
      <c r="W12" s="231"/>
      <c r="X12" s="232"/>
      <c r="Y12" s="233"/>
      <c r="Z12" s="234"/>
    </row>
    <row r="13" spans="1:26" s="92" customFormat="1" ht="45" x14ac:dyDescent="0.2">
      <c r="A13" s="357" t="s">
        <v>538</v>
      </c>
      <c r="B13" s="240" t="s">
        <v>467</v>
      </c>
      <c r="C13" s="146">
        <v>60861</v>
      </c>
      <c r="D13" s="428">
        <v>319449.98</v>
      </c>
      <c r="E13" s="147">
        <v>44651</v>
      </c>
      <c r="F13" s="342">
        <v>13</v>
      </c>
      <c r="G13" s="342">
        <v>394599.03</v>
      </c>
      <c r="H13" s="342">
        <v>0</v>
      </c>
      <c r="I13" s="342">
        <v>0</v>
      </c>
      <c r="J13" s="410">
        <v>11</v>
      </c>
      <c r="K13" s="352">
        <v>319449.98</v>
      </c>
      <c r="L13" s="342">
        <v>11</v>
      </c>
      <c r="M13" s="342">
        <v>11</v>
      </c>
      <c r="N13" s="342">
        <v>319449.98</v>
      </c>
      <c r="O13" s="342">
        <v>2</v>
      </c>
      <c r="P13" s="342">
        <v>68749.5</v>
      </c>
      <c r="Q13" s="366">
        <f t="shared" si="0"/>
        <v>0</v>
      </c>
      <c r="R13" s="342">
        <v>10</v>
      </c>
      <c r="S13" s="342">
        <v>249884.58</v>
      </c>
      <c r="T13" s="342">
        <v>9</v>
      </c>
      <c r="U13" s="342">
        <v>237832.75</v>
      </c>
      <c r="W13" s="231"/>
      <c r="X13" s="232"/>
      <c r="Y13" s="233"/>
      <c r="Z13" s="234"/>
    </row>
    <row r="14" spans="1:26" s="92" customFormat="1" ht="56.25" x14ac:dyDescent="0.2">
      <c r="A14" s="187" t="s">
        <v>151</v>
      </c>
      <c r="B14" s="239" t="s">
        <v>422</v>
      </c>
      <c r="C14" s="146">
        <v>69945</v>
      </c>
      <c r="D14" s="428">
        <v>200000</v>
      </c>
      <c r="E14" s="147">
        <v>44651</v>
      </c>
      <c r="F14" s="342">
        <v>1</v>
      </c>
      <c r="G14" s="342">
        <v>200000</v>
      </c>
      <c r="H14" s="342">
        <v>0</v>
      </c>
      <c r="I14" s="342">
        <v>0</v>
      </c>
      <c r="J14" s="342">
        <v>1</v>
      </c>
      <c r="K14" s="342">
        <v>200000</v>
      </c>
      <c r="L14" s="342">
        <v>1</v>
      </c>
      <c r="M14" s="342">
        <v>1</v>
      </c>
      <c r="N14" s="342">
        <v>200000</v>
      </c>
      <c r="O14" s="342">
        <v>0</v>
      </c>
      <c r="P14" s="342">
        <v>0</v>
      </c>
      <c r="Q14" s="366">
        <f t="shared" si="0"/>
        <v>0</v>
      </c>
      <c r="R14" s="342">
        <v>1</v>
      </c>
      <c r="S14" s="342">
        <v>62000</v>
      </c>
      <c r="T14" s="342">
        <v>1</v>
      </c>
      <c r="U14" s="342">
        <v>61500</v>
      </c>
      <c r="W14" s="231"/>
      <c r="X14" s="232"/>
      <c r="Y14" s="233"/>
      <c r="Z14" s="234"/>
    </row>
    <row r="15" spans="1:26" s="92" customFormat="1" ht="33.75" x14ac:dyDescent="0.2">
      <c r="A15" s="257" t="s">
        <v>238</v>
      </c>
      <c r="B15" s="235" t="s">
        <v>560</v>
      </c>
      <c r="C15" s="146">
        <v>74183</v>
      </c>
      <c r="D15" s="484">
        <v>697966</v>
      </c>
      <c r="E15" s="180">
        <v>45122</v>
      </c>
      <c r="F15" s="342">
        <v>7</v>
      </c>
      <c r="G15" s="342">
        <v>697966</v>
      </c>
      <c r="H15" s="342">
        <v>0</v>
      </c>
      <c r="I15" s="342">
        <v>0</v>
      </c>
      <c r="J15" s="342">
        <v>7</v>
      </c>
      <c r="K15" s="342">
        <v>677813.06</v>
      </c>
      <c r="L15" s="342">
        <v>7</v>
      </c>
      <c r="M15" s="342">
        <v>7</v>
      </c>
      <c r="N15" s="342">
        <v>677813.06</v>
      </c>
      <c r="O15" s="342">
        <v>0</v>
      </c>
      <c r="P15" s="342">
        <v>0</v>
      </c>
      <c r="Q15" s="366">
        <f t="shared" si="0"/>
        <v>0</v>
      </c>
      <c r="R15" s="342">
        <v>7</v>
      </c>
      <c r="S15" s="342">
        <v>671251.47</v>
      </c>
      <c r="T15" s="342">
        <v>2</v>
      </c>
      <c r="U15" s="342">
        <v>183835.66</v>
      </c>
      <c r="W15" s="321"/>
      <c r="X15" s="322"/>
      <c r="Y15" s="323"/>
      <c r="Z15" s="324"/>
    </row>
    <row r="16" spans="1:26" s="92" customFormat="1" ht="22.5" x14ac:dyDescent="0.2">
      <c r="A16" s="257" t="s">
        <v>482</v>
      </c>
      <c r="B16" s="235" t="s">
        <v>333</v>
      </c>
      <c r="C16" s="146">
        <v>74223</v>
      </c>
      <c r="D16" s="484">
        <v>103182.91</v>
      </c>
      <c r="E16" s="180">
        <v>45122</v>
      </c>
      <c r="F16" s="342">
        <v>1</v>
      </c>
      <c r="G16" s="342">
        <v>103182.91</v>
      </c>
      <c r="H16" s="342">
        <v>0</v>
      </c>
      <c r="I16" s="342">
        <v>0</v>
      </c>
      <c r="J16" s="342">
        <v>1</v>
      </c>
      <c r="K16" s="342">
        <v>103181.13</v>
      </c>
      <c r="L16" s="342">
        <v>1</v>
      </c>
      <c r="M16" s="342">
        <v>1</v>
      </c>
      <c r="N16" s="342">
        <v>103181.13</v>
      </c>
      <c r="O16" s="342">
        <v>0</v>
      </c>
      <c r="P16" s="342">
        <v>0</v>
      </c>
      <c r="Q16" s="366">
        <f t="shared" si="0"/>
        <v>0</v>
      </c>
      <c r="R16" s="342">
        <v>2</v>
      </c>
      <c r="S16" s="342">
        <v>99378.92</v>
      </c>
      <c r="T16" s="342">
        <v>1</v>
      </c>
      <c r="U16" s="342">
        <v>45061.21</v>
      </c>
      <c r="W16" s="321"/>
      <c r="X16" s="322"/>
      <c r="Y16" s="323"/>
      <c r="Z16" s="324"/>
    </row>
    <row r="17" spans="1:26" s="92" customFormat="1" ht="45" x14ac:dyDescent="0.2">
      <c r="A17" s="357" t="s">
        <v>275</v>
      </c>
      <c r="B17" s="355" t="s">
        <v>426</v>
      </c>
      <c r="C17" s="356">
        <v>75641</v>
      </c>
      <c r="D17" s="484">
        <v>341238.83999999997</v>
      </c>
      <c r="E17" s="360">
        <v>45229</v>
      </c>
      <c r="F17" s="342">
        <v>10</v>
      </c>
      <c r="G17" s="342">
        <v>379739.04</v>
      </c>
      <c r="H17" s="342">
        <v>1</v>
      </c>
      <c r="I17" s="342">
        <v>38500.200000000004</v>
      </c>
      <c r="J17" s="342">
        <v>9</v>
      </c>
      <c r="K17" s="342">
        <v>310709.57</v>
      </c>
      <c r="L17" s="342">
        <v>9</v>
      </c>
      <c r="M17" s="342">
        <v>8</v>
      </c>
      <c r="N17" s="342">
        <v>266001.38</v>
      </c>
      <c r="O17" s="342">
        <v>0</v>
      </c>
      <c r="P17" s="342">
        <v>0</v>
      </c>
      <c r="Q17" s="366">
        <f t="shared" si="0"/>
        <v>44708.19</v>
      </c>
      <c r="R17" s="342">
        <v>7</v>
      </c>
      <c r="S17" s="342">
        <v>171652.41</v>
      </c>
      <c r="T17" s="342">
        <v>2</v>
      </c>
      <c r="U17" s="342">
        <v>37121.729999999996</v>
      </c>
      <c r="W17" s="321"/>
      <c r="X17" s="322"/>
      <c r="Y17" s="323"/>
      <c r="Z17" s="324"/>
    </row>
    <row r="18" spans="1:26" s="92" customFormat="1" ht="33.75" x14ac:dyDescent="0.2">
      <c r="A18" s="357" t="s">
        <v>538</v>
      </c>
      <c r="B18" s="355" t="s">
        <v>424</v>
      </c>
      <c r="C18" s="356">
        <v>76844</v>
      </c>
      <c r="D18" s="359">
        <v>948709.89</v>
      </c>
      <c r="E18" s="360">
        <v>45350.999988425923</v>
      </c>
      <c r="F18" s="342">
        <v>39</v>
      </c>
      <c r="G18" s="342">
        <v>1597612.3800000001</v>
      </c>
      <c r="H18" s="342">
        <v>0</v>
      </c>
      <c r="I18" s="342">
        <v>0</v>
      </c>
      <c r="J18" s="410">
        <v>31</v>
      </c>
      <c r="K18" s="359">
        <v>1256280.76</v>
      </c>
      <c r="L18" s="342">
        <v>31</v>
      </c>
      <c r="M18" s="342">
        <v>31</v>
      </c>
      <c r="N18" s="342">
        <v>1256280.76</v>
      </c>
      <c r="O18" s="342">
        <v>8</v>
      </c>
      <c r="P18" s="342">
        <v>273279.3</v>
      </c>
      <c r="Q18" s="366">
        <f t="shared" si="0"/>
        <v>0</v>
      </c>
      <c r="R18" s="342">
        <v>28</v>
      </c>
      <c r="S18" s="342">
        <v>1042403.78</v>
      </c>
      <c r="T18" s="342">
        <v>21</v>
      </c>
      <c r="U18" s="342">
        <v>815380.23</v>
      </c>
      <c r="W18" s="321"/>
      <c r="X18" s="322"/>
      <c r="Y18" s="323"/>
      <c r="Z18" s="324"/>
    </row>
    <row r="19" spans="1:26" ht="22.5" x14ac:dyDescent="0.2">
      <c r="A19" s="19" t="s">
        <v>1</v>
      </c>
      <c r="B19" s="19"/>
      <c r="C19" s="59"/>
      <c r="D19" s="20">
        <f>SUM(D6:D18)</f>
        <v>4102541.63</v>
      </c>
      <c r="E19" s="20"/>
      <c r="F19" s="20">
        <f t="shared" ref="F19:T19" si="1">SUM(F6:F18)</f>
        <v>110</v>
      </c>
      <c r="G19" s="20">
        <f t="shared" si="1"/>
        <v>5237526.1000000006</v>
      </c>
      <c r="H19" s="20">
        <f t="shared" si="1"/>
        <v>3</v>
      </c>
      <c r="I19" s="20">
        <f t="shared" si="1"/>
        <v>84729.91</v>
      </c>
      <c r="J19" s="20">
        <f t="shared" si="1"/>
        <v>93</v>
      </c>
      <c r="K19" s="20">
        <f t="shared" si="1"/>
        <v>4489374.37</v>
      </c>
      <c r="L19" s="20">
        <f t="shared" si="1"/>
        <v>93</v>
      </c>
      <c r="M19" s="20">
        <f t="shared" si="1"/>
        <v>92</v>
      </c>
      <c r="N19" s="20">
        <f t="shared" si="1"/>
        <v>4444666.18</v>
      </c>
      <c r="O19" s="20">
        <f t="shared" si="1"/>
        <v>14</v>
      </c>
      <c r="P19" s="20">
        <f t="shared" si="1"/>
        <v>450026.8</v>
      </c>
      <c r="Q19" s="20">
        <f t="shared" si="1"/>
        <v>44708.19</v>
      </c>
      <c r="R19" s="20">
        <f t="shared" si="1"/>
        <v>110</v>
      </c>
      <c r="S19" s="20">
        <f>SUM(S6:S18)</f>
        <v>3772110.3500000006</v>
      </c>
      <c r="T19" s="490">
        <f t="shared" si="1"/>
        <v>90</v>
      </c>
      <c r="U19" s="490">
        <f>SUM(U6:U18)</f>
        <v>2787734.08</v>
      </c>
    </row>
    <row r="20" spans="1:26" customFormat="1" ht="15" customHeight="1" x14ac:dyDescent="0.25">
      <c r="A20" s="210" t="s">
        <v>390</v>
      </c>
      <c r="B20" s="134"/>
      <c r="C20" s="134"/>
      <c r="D20" s="134"/>
      <c r="E20" s="134"/>
      <c r="F20" s="134"/>
      <c r="G20" s="134"/>
      <c r="H20" s="134"/>
      <c r="I20" s="134"/>
      <c r="J20" s="134"/>
      <c r="K20" s="134"/>
      <c r="L20" s="134"/>
      <c r="M20" s="134"/>
      <c r="N20" s="134"/>
      <c r="O20" s="134"/>
      <c r="P20" s="134"/>
      <c r="Q20" s="134"/>
      <c r="R20" s="134"/>
    </row>
    <row r="21" spans="1:26" s="23" customFormat="1" ht="34.15" customHeight="1" x14ac:dyDescent="0.25">
      <c r="A21" s="1124" t="s">
        <v>744</v>
      </c>
      <c r="B21" s="1124"/>
      <c r="C21" s="1124"/>
      <c r="D21" s="1124"/>
      <c r="E21" s="1124"/>
      <c r="F21" s="1124"/>
      <c r="G21" s="1124"/>
      <c r="H21" s="1124"/>
      <c r="I21" s="1124"/>
      <c r="J21" s="1124"/>
      <c r="K21" s="1124"/>
      <c r="L21" s="1124"/>
      <c r="M21" s="1124"/>
      <c r="N21" s="1124"/>
      <c r="O21" s="1124"/>
      <c r="P21" s="1124"/>
      <c r="Q21" s="1124"/>
      <c r="R21" s="1124"/>
      <c r="S21" s="1124"/>
      <c r="T21" s="1124"/>
      <c r="U21" s="1124"/>
      <c r="V21" s="87"/>
      <c r="W21" s="87"/>
    </row>
    <row r="22" spans="1:26" ht="19.899999999999999" customHeight="1" x14ac:dyDescent="0.2">
      <c r="A22" s="1125" t="s">
        <v>642</v>
      </c>
      <c r="B22" s="1125"/>
      <c r="C22" s="1126"/>
      <c r="D22" s="1125"/>
      <c r="E22" s="1125"/>
      <c r="F22" s="1125"/>
      <c r="G22" s="1125"/>
      <c r="H22" s="1126"/>
      <c r="I22" s="1126"/>
      <c r="J22" s="1125"/>
      <c r="K22" s="1125"/>
      <c r="L22" s="1125"/>
      <c r="M22" s="1125"/>
      <c r="N22" s="1125"/>
      <c r="O22" s="1125"/>
      <c r="P22" s="1125"/>
      <c r="Q22" s="1125"/>
      <c r="R22" s="1125"/>
      <c r="S22" s="1125"/>
      <c r="T22" s="1125"/>
      <c r="U22" s="1125"/>
    </row>
    <row r="23" spans="1:26" ht="20.25" customHeight="1" x14ac:dyDescent="0.2">
      <c r="A23" s="943" t="s">
        <v>248</v>
      </c>
      <c r="B23" s="943" t="s">
        <v>156</v>
      </c>
      <c r="C23" s="943" t="s">
        <v>282</v>
      </c>
      <c r="D23" s="943" t="s">
        <v>157</v>
      </c>
      <c r="E23" s="943" t="s">
        <v>158</v>
      </c>
      <c r="F23" s="968" t="s">
        <v>337</v>
      </c>
      <c r="G23" s="969"/>
      <c r="H23" s="968" t="s">
        <v>277</v>
      </c>
      <c r="I23" s="969"/>
      <c r="J23" s="968" t="s">
        <v>159</v>
      </c>
      <c r="K23" s="969"/>
      <c r="L23" s="947" t="s">
        <v>749</v>
      </c>
      <c r="M23" s="948"/>
      <c r="N23" s="948"/>
      <c r="O23" s="948"/>
      <c r="P23" s="949"/>
      <c r="Q23" s="943" t="s">
        <v>250</v>
      </c>
      <c r="R23" s="937" t="s">
        <v>750</v>
      </c>
      <c r="S23" s="938"/>
      <c r="T23" s="937" t="s">
        <v>751</v>
      </c>
      <c r="U23" s="938"/>
      <c r="W23" s="92"/>
    </row>
    <row r="24" spans="1:26" ht="10.15" customHeight="1" x14ac:dyDescent="0.2">
      <c r="A24" s="944"/>
      <c r="B24" s="944"/>
      <c r="C24" s="944"/>
      <c r="D24" s="944"/>
      <c r="E24" s="944"/>
      <c r="F24" s="939"/>
      <c r="G24" s="940"/>
      <c r="H24" s="939"/>
      <c r="I24" s="940"/>
      <c r="J24" s="939"/>
      <c r="K24" s="940"/>
      <c r="L24" s="975" t="s">
        <v>160</v>
      </c>
      <c r="M24" s="948"/>
      <c r="N24" s="949"/>
      <c r="O24" s="968" t="s">
        <v>626</v>
      </c>
      <c r="P24" s="969"/>
      <c r="Q24" s="944"/>
      <c r="R24" s="939"/>
      <c r="S24" s="940"/>
      <c r="T24" s="939"/>
      <c r="U24" s="940"/>
      <c r="W24" s="92"/>
    </row>
    <row r="25" spans="1:26" ht="21" customHeight="1" x14ac:dyDescent="0.2">
      <c r="A25" s="944"/>
      <c r="B25" s="944"/>
      <c r="C25" s="944"/>
      <c r="D25" s="944"/>
      <c r="E25" s="944"/>
      <c r="F25" s="941"/>
      <c r="G25" s="942"/>
      <c r="H25" s="941"/>
      <c r="I25" s="942"/>
      <c r="J25" s="941"/>
      <c r="K25" s="942"/>
      <c r="L25" s="950" t="s">
        <v>161</v>
      </c>
      <c r="M25" s="975" t="s">
        <v>247</v>
      </c>
      <c r="N25" s="949"/>
      <c r="O25" s="941"/>
      <c r="P25" s="942"/>
      <c r="Q25" s="946"/>
      <c r="R25" s="941"/>
      <c r="S25" s="942"/>
      <c r="T25" s="941"/>
      <c r="U25" s="942"/>
      <c r="W25" s="92"/>
    </row>
    <row r="26" spans="1:26" ht="21.75" x14ac:dyDescent="0.2">
      <c r="A26" s="946"/>
      <c r="B26" s="946"/>
      <c r="C26" s="946"/>
      <c r="D26" s="946"/>
      <c r="E26" s="946"/>
      <c r="F26" s="122" t="s">
        <v>161</v>
      </c>
      <c r="G26" s="123" t="s">
        <v>162</v>
      </c>
      <c r="H26" s="15" t="s">
        <v>161</v>
      </c>
      <c r="I26" s="16" t="s">
        <v>162</v>
      </c>
      <c r="J26" s="122" t="s">
        <v>161</v>
      </c>
      <c r="K26" s="123" t="s">
        <v>162</v>
      </c>
      <c r="L26" s="1119"/>
      <c r="M26" s="154" t="s">
        <v>161</v>
      </c>
      <c r="N26" s="125" t="s">
        <v>162</v>
      </c>
      <c r="O26" s="154" t="s">
        <v>161</v>
      </c>
      <c r="P26" s="125" t="s">
        <v>162</v>
      </c>
      <c r="Q26" s="16" t="s">
        <v>162</v>
      </c>
      <c r="R26" s="15" t="s">
        <v>161</v>
      </c>
      <c r="S26" s="16" t="s">
        <v>162</v>
      </c>
      <c r="T26" s="77" t="s">
        <v>161</v>
      </c>
      <c r="U26" s="78" t="s">
        <v>162</v>
      </c>
      <c r="W26" s="92"/>
    </row>
    <row r="27" spans="1:26" s="92" customFormat="1" ht="33.75" x14ac:dyDescent="0.2">
      <c r="A27" s="1" t="s">
        <v>538</v>
      </c>
      <c r="B27" s="237" t="s">
        <v>262</v>
      </c>
      <c r="C27" s="146">
        <v>36625</v>
      </c>
      <c r="D27" s="430">
        <v>525000</v>
      </c>
      <c r="E27" s="180">
        <v>43889</v>
      </c>
      <c r="F27" s="342">
        <v>8</v>
      </c>
      <c r="G27" s="342">
        <v>496068.45</v>
      </c>
      <c r="H27" s="342">
        <v>0</v>
      </c>
      <c r="I27" s="342">
        <v>0</v>
      </c>
      <c r="J27" s="342">
        <v>6</v>
      </c>
      <c r="K27" s="352">
        <v>400453.68000000005</v>
      </c>
      <c r="L27" s="342">
        <v>6</v>
      </c>
      <c r="M27" s="342">
        <v>6</v>
      </c>
      <c r="N27" s="342">
        <v>400453.68000000005</v>
      </c>
      <c r="O27" s="342">
        <v>2</v>
      </c>
      <c r="P27" s="342">
        <v>87500</v>
      </c>
      <c r="Q27" s="366">
        <f>K27-N27</f>
        <v>0</v>
      </c>
      <c r="R27" s="342">
        <v>9</v>
      </c>
      <c r="S27" s="342">
        <v>333126.39</v>
      </c>
      <c r="T27" s="342">
        <v>9</v>
      </c>
      <c r="U27" s="342">
        <v>327944.62000000005</v>
      </c>
    </row>
    <row r="28" spans="1:26" s="92" customFormat="1" ht="45" x14ac:dyDescent="0.2">
      <c r="A28" s="187" t="s">
        <v>538</v>
      </c>
      <c r="B28" s="237" t="s">
        <v>303</v>
      </c>
      <c r="C28" s="146">
        <v>36664</v>
      </c>
      <c r="D28" s="430">
        <v>724017</v>
      </c>
      <c r="E28" s="180">
        <v>43889</v>
      </c>
      <c r="F28" s="342">
        <v>15</v>
      </c>
      <c r="G28" s="342">
        <v>976233.32</v>
      </c>
      <c r="H28" s="342">
        <v>0</v>
      </c>
      <c r="I28" s="342">
        <v>0</v>
      </c>
      <c r="J28" s="342">
        <v>12</v>
      </c>
      <c r="K28" s="372">
        <v>724017</v>
      </c>
      <c r="L28" s="342">
        <v>9</v>
      </c>
      <c r="M28" s="342">
        <v>8</v>
      </c>
      <c r="N28" s="342">
        <v>532739.35000000009</v>
      </c>
      <c r="O28" s="342">
        <v>3</v>
      </c>
      <c r="P28" s="342">
        <v>161000</v>
      </c>
      <c r="Q28" s="366">
        <f>K28-N28</f>
        <v>191277.64999999991</v>
      </c>
      <c r="R28" s="342">
        <v>13</v>
      </c>
      <c r="S28" s="342">
        <v>462144.73000000004</v>
      </c>
      <c r="T28" s="342">
        <v>9</v>
      </c>
      <c r="U28" s="342">
        <v>297182</v>
      </c>
      <c r="V28" s="315"/>
    </row>
    <row r="29" spans="1:26" s="92" customFormat="1" ht="67.5" x14ac:dyDescent="0.2">
      <c r="A29" s="187" t="s">
        <v>55</v>
      </c>
      <c r="B29" s="238" t="s">
        <v>486</v>
      </c>
      <c r="C29" s="146">
        <v>54462</v>
      </c>
      <c r="D29" s="98">
        <v>100000</v>
      </c>
      <c r="E29" s="147">
        <v>44925</v>
      </c>
      <c r="F29" s="342">
        <v>1</v>
      </c>
      <c r="G29" s="342">
        <v>100000</v>
      </c>
      <c r="H29" s="342">
        <v>0</v>
      </c>
      <c r="I29" s="342">
        <v>0</v>
      </c>
      <c r="J29" s="342">
        <v>1</v>
      </c>
      <c r="K29" s="342">
        <v>100000</v>
      </c>
      <c r="L29" s="342">
        <v>0</v>
      </c>
      <c r="M29" s="342">
        <v>0</v>
      </c>
      <c r="N29" s="342">
        <v>0</v>
      </c>
      <c r="O29" s="342">
        <v>0</v>
      </c>
      <c r="P29" s="342">
        <v>0</v>
      </c>
      <c r="Q29" s="366">
        <f>K29-N29</f>
        <v>100000</v>
      </c>
      <c r="R29" s="342">
        <v>0</v>
      </c>
      <c r="S29" s="342">
        <v>0</v>
      </c>
      <c r="T29" s="342">
        <v>0</v>
      </c>
      <c r="U29" s="342">
        <v>0</v>
      </c>
    </row>
    <row r="30" spans="1:26" s="92" customFormat="1" ht="67.5" x14ac:dyDescent="0.2">
      <c r="A30" s="187" t="s">
        <v>55</v>
      </c>
      <c r="B30" s="238" t="s">
        <v>483</v>
      </c>
      <c r="C30" s="146">
        <v>60447</v>
      </c>
      <c r="D30" s="98">
        <v>360000</v>
      </c>
      <c r="E30" s="147">
        <v>44926</v>
      </c>
      <c r="F30" s="342">
        <v>3</v>
      </c>
      <c r="G30" s="342">
        <v>360000</v>
      </c>
      <c r="H30" s="342">
        <v>0</v>
      </c>
      <c r="I30" s="342">
        <v>0</v>
      </c>
      <c r="J30" s="342">
        <v>3</v>
      </c>
      <c r="K30" s="342">
        <v>360000</v>
      </c>
      <c r="L30" s="342">
        <v>0</v>
      </c>
      <c r="M30" s="342">
        <v>0</v>
      </c>
      <c r="N30" s="342">
        <v>0</v>
      </c>
      <c r="O30" s="342">
        <v>0</v>
      </c>
      <c r="P30" s="342">
        <v>0</v>
      </c>
      <c r="Q30" s="366">
        <f>K30-N30</f>
        <v>360000</v>
      </c>
      <c r="R30" s="342">
        <v>0</v>
      </c>
      <c r="S30" s="342">
        <v>0</v>
      </c>
      <c r="T30" s="342">
        <v>0</v>
      </c>
      <c r="U30" s="342">
        <v>0</v>
      </c>
    </row>
    <row r="31" spans="1:26" s="92" customFormat="1" ht="25.9" customHeight="1" x14ac:dyDescent="0.2">
      <c r="A31" s="282" t="s">
        <v>365</v>
      </c>
      <c r="B31" s="348" t="s">
        <v>521</v>
      </c>
      <c r="C31" s="146">
        <v>67426</v>
      </c>
      <c r="D31" s="483">
        <v>280600.58</v>
      </c>
      <c r="E31" s="147">
        <v>44865</v>
      </c>
      <c r="F31" s="342">
        <v>1</v>
      </c>
      <c r="G31" s="342">
        <v>70000</v>
      </c>
      <c r="H31" s="342">
        <v>0</v>
      </c>
      <c r="I31" s="342">
        <v>0</v>
      </c>
      <c r="J31" s="342">
        <v>1</v>
      </c>
      <c r="K31" s="342">
        <v>70000</v>
      </c>
      <c r="L31" s="342">
        <v>1</v>
      </c>
      <c r="M31" s="342">
        <v>1</v>
      </c>
      <c r="N31" s="342">
        <v>70000</v>
      </c>
      <c r="O31" s="342">
        <v>0</v>
      </c>
      <c r="P31" s="342">
        <v>0</v>
      </c>
      <c r="Q31" s="366">
        <f>K31-N31</f>
        <v>0</v>
      </c>
      <c r="R31" s="342">
        <v>2</v>
      </c>
      <c r="S31" s="342">
        <v>70000</v>
      </c>
      <c r="T31" s="342">
        <v>2</v>
      </c>
      <c r="U31" s="342">
        <v>70000</v>
      </c>
    </row>
    <row r="32" spans="1:26" s="92" customFormat="1" ht="25.9" customHeight="1" x14ac:dyDescent="0.2">
      <c r="A32" s="357" t="s">
        <v>538</v>
      </c>
      <c r="B32" s="355" t="s">
        <v>451</v>
      </c>
      <c r="C32" s="356">
        <v>77142</v>
      </c>
      <c r="D32" s="483">
        <v>210000</v>
      </c>
      <c r="E32" s="360">
        <v>45376</v>
      </c>
      <c r="F32" s="342">
        <v>9</v>
      </c>
      <c r="G32" s="342">
        <v>587515.72</v>
      </c>
      <c r="H32" s="342">
        <v>0</v>
      </c>
      <c r="I32" s="342">
        <v>0</v>
      </c>
      <c r="J32" s="342">
        <v>9</v>
      </c>
      <c r="K32" s="342">
        <v>582443.42000000004</v>
      </c>
      <c r="L32" s="342">
        <v>9</v>
      </c>
      <c r="M32" s="342">
        <v>9</v>
      </c>
      <c r="N32" s="342">
        <v>582443.42000000004</v>
      </c>
      <c r="O32" s="342">
        <v>0</v>
      </c>
      <c r="P32" s="342">
        <v>0</v>
      </c>
      <c r="Q32" s="366">
        <f t="shared" ref="Q32:Q34" si="2">K32-N32</f>
        <v>0</v>
      </c>
      <c r="R32" s="342">
        <v>10</v>
      </c>
      <c r="S32" s="342">
        <v>432310.99999999988</v>
      </c>
      <c r="T32" s="342">
        <v>6</v>
      </c>
      <c r="U32" s="342">
        <v>271450.27999999997</v>
      </c>
    </row>
    <row r="33" spans="1:23" s="92" customFormat="1" ht="33" customHeight="1" x14ac:dyDescent="0.2">
      <c r="A33" s="357" t="s">
        <v>242</v>
      </c>
      <c r="B33" s="358" t="s">
        <v>456</v>
      </c>
      <c r="C33" s="356">
        <v>80328</v>
      </c>
      <c r="D33" s="349">
        <v>300000</v>
      </c>
      <c r="E33" s="360">
        <v>45460</v>
      </c>
      <c r="F33" s="342">
        <v>19</v>
      </c>
      <c r="G33" s="342">
        <v>950000</v>
      </c>
      <c r="H33" s="342">
        <v>0</v>
      </c>
      <c r="I33" s="342">
        <v>0</v>
      </c>
      <c r="J33" s="342">
        <v>18</v>
      </c>
      <c r="K33" s="342">
        <v>900000</v>
      </c>
      <c r="L33" s="342">
        <v>18</v>
      </c>
      <c r="M33" s="342">
        <v>16</v>
      </c>
      <c r="N33" s="342">
        <v>800000</v>
      </c>
      <c r="O33" s="342">
        <v>1</v>
      </c>
      <c r="P33" s="342">
        <v>50000</v>
      </c>
      <c r="Q33" s="366">
        <f t="shared" si="2"/>
        <v>100000</v>
      </c>
      <c r="R33" s="342">
        <v>25</v>
      </c>
      <c r="S33" s="342">
        <v>690000</v>
      </c>
      <c r="T33" s="342">
        <v>14</v>
      </c>
      <c r="U33" s="342">
        <v>490000</v>
      </c>
    </row>
    <row r="34" spans="1:23" s="92" customFormat="1" ht="33" customHeight="1" x14ac:dyDescent="0.2">
      <c r="A34" s="357" t="s">
        <v>273</v>
      </c>
      <c r="B34" s="355" t="s">
        <v>711</v>
      </c>
      <c r="C34" s="356">
        <v>87822</v>
      </c>
      <c r="D34" s="506">
        <v>1700000</v>
      </c>
      <c r="E34" s="343">
        <v>45873</v>
      </c>
      <c r="F34" s="342">
        <v>14</v>
      </c>
      <c r="G34" s="342">
        <v>1401277.2000000002</v>
      </c>
      <c r="H34" s="342">
        <v>0</v>
      </c>
      <c r="I34" s="342">
        <v>0</v>
      </c>
      <c r="J34" s="342">
        <v>9</v>
      </c>
      <c r="K34" s="581">
        <v>902021</v>
      </c>
      <c r="L34" s="342">
        <v>9</v>
      </c>
      <c r="M34" s="342">
        <v>0</v>
      </c>
      <c r="N34" s="342">
        <v>0</v>
      </c>
      <c r="O34" s="342">
        <v>0</v>
      </c>
      <c r="P34" s="342">
        <v>0</v>
      </c>
      <c r="Q34" s="366">
        <f t="shared" si="2"/>
        <v>902021</v>
      </c>
      <c r="R34" s="342">
        <v>0</v>
      </c>
      <c r="S34" s="342">
        <v>0</v>
      </c>
      <c r="T34" s="342">
        <v>0</v>
      </c>
      <c r="U34" s="342">
        <v>0</v>
      </c>
    </row>
    <row r="35" spans="1:23" ht="22.5" x14ac:dyDescent="0.2">
      <c r="A35" s="19" t="s">
        <v>1</v>
      </c>
      <c r="B35" s="19"/>
      <c r="C35" s="59"/>
      <c r="D35" s="20">
        <f>SUM(D27:D34)</f>
        <v>4199617.58</v>
      </c>
      <c r="E35" s="20"/>
      <c r="F35" s="20">
        <f t="shared" ref="F35:U35" si="3">SUM(F27:F34)</f>
        <v>70</v>
      </c>
      <c r="G35" s="20">
        <f t="shared" si="3"/>
        <v>4941094.6900000004</v>
      </c>
      <c r="H35" s="20">
        <f t="shared" si="3"/>
        <v>0</v>
      </c>
      <c r="I35" s="20">
        <f t="shared" si="3"/>
        <v>0</v>
      </c>
      <c r="J35" s="20">
        <f t="shared" si="3"/>
        <v>59</v>
      </c>
      <c r="K35" s="20">
        <f t="shared" si="3"/>
        <v>4038935.1</v>
      </c>
      <c r="L35" s="20">
        <f t="shared" si="3"/>
        <v>52</v>
      </c>
      <c r="M35" s="20">
        <f t="shared" si="3"/>
        <v>40</v>
      </c>
      <c r="N35" s="20">
        <f t="shared" si="3"/>
        <v>2385636.4500000002</v>
      </c>
      <c r="O35" s="20">
        <f t="shared" si="3"/>
        <v>6</v>
      </c>
      <c r="P35" s="20">
        <f t="shared" si="3"/>
        <v>298500</v>
      </c>
      <c r="Q35" s="20">
        <f t="shared" si="3"/>
        <v>1653298.65</v>
      </c>
      <c r="R35" s="20">
        <f t="shared" si="3"/>
        <v>59</v>
      </c>
      <c r="S35" s="20">
        <f t="shared" si="3"/>
        <v>1987582.12</v>
      </c>
      <c r="T35" s="20">
        <f t="shared" si="3"/>
        <v>40</v>
      </c>
      <c r="U35" s="20">
        <f t="shared" si="3"/>
        <v>1456576.9000000001</v>
      </c>
    </row>
    <row r="36" spans="1:23" customFormat="1" ht="15" customHeight="1" x14ac:dyDescent="0.25">
      <c r="A36" s="210" t="s">
        <v>390</v>
      </c>
      <c r="B36" s="134"/>
      <c r="C36" s="134"/>
      <c r="D36" s="134"/>
      <c r="E36" s="134"/>
      <c r="F36" s="134"/>
      <c r="G36" s="134"/>
      <c r="H36" s="134"/>
      <c r="I36" s="134"/>
      <c r="J36" s="134"/>
      <c r="K36" s="134"/>
      <c r="L36" s="134"/>
      <c r="M36" s="134"/>
      <c r="N36" s="134"/>
      <c r="O36" s="134"/>
      <c r="P36" s="134"/>
      <c r="Q36" s="134"/>
      <c r="R36" s="134"/>
    </row>
    <row r="37" spans="1:23" s="23" customFormat="1" ht="24.6" customHeight="1" x14ac:dyDescent="0.25">
      <c r="A37" s="1124" t="s">
        <v>744</v>
      </c>
      <c r="B37" s="1124"/>
      <c r="C37" s="1124"/>
      <c r="D37" s="1124"/>
      <c r="E37" s="1124"/>
      <c r="F37" s="1124"/>
      <c r="G37" s="1124"/>
      <c r="H37" s="1124"/>
      <c r="I37" s="1124"/>
      <c r="J37" s="1124"/>
      <c r="K37" s="1124"/>
      <c r="L37" s="1124"/>
      <c r="M37" s="1124"/>
      <c r="N37" s="1124"/>
      <c r="O37" s="1124"/>
      <c r="P37" s="1124"/>
      <c r="Q37" s="1124"/>
      <c r="R37" s="1124"/>
      <c r="S37" s="1124"/>
      <c r="T37" s="1124"/>
      <c r="U37" s="1124"/>
      <c r="V37" s="87"/>
      <c r="W37" s="87"/>
    </row>
  </sheetData>
  <mergeCells count="36">
    <mergeCell ref="A37:U37"/>
    <mergeCell ref="B23:B26"/>
    <mergeCell ref="H23:I25"/>
    <mergeCell ref="D23:D26"/>
    <mergeCell ref="E23:E26"/>
    <mergeCell ref="C23:C26"/>
    <mergeCell ref="F23:G25"/>
    <mergeCell ref="L4:L5"/>
    <mergeCell ref="A22:U22"/>
    <mergeCell ref="J23:K25"/>
    <mergeCell ref="L23:P23"/>
    <mergeCell ref="Q23:Q25"/>
    <mergeCell ref="R23:S25"/>
    <mergeCell ref="T23:U25"/>
    <mergeCell ref="L24:N24"/>
    <mergeCell ref="M25:N25"/>
    <mergeCell ref="O24:P25"/>
    <mergeCell ref="L25:L26"/>
    <mergeCell ref="A23:A26"/>
    <mergeCell ref="A21:U21"/>
    <mergeCell ref="A1:U1"/>
    <mergeCell ref="A2:A5"/>
    <mergeCell ref="B2:B5"/>
    <mergeCell ref="D2:D5"/>
    <mergeCell ref="E2:E5"/>
    <mergeCell ref="F2:G4"/>
    <mergeCell ref="J2:K4"/>
    <mergeCell ref="L2:P2"/>
    <mergeCell ref="Q2:Q4"/>
    <mergeCell ref="R2:S4"/>
    <mergeCell ref="T2:U4"/>
    <mergeCell ref="L3:N3"/>
    <mergeCell ref="H2:I4"/>
    <mergeCell ref="C2:C5"/>
    <mergeCell ref="O3:P4"/>
    <mergeCell ref="M4:N4"/>
  </mergeCells>
  <phoneticPr fontId="33" type="noConversion"/>
  <pageMargins left="0.51181102362204722" right="0.51181102362204722" top="0.74803149606299213" bottom="0.74803149606299213" header="0.31496062992125984" footer="0.31496062992125984"/>
  <pageSetup paperSize="9" scale="78" orientation="landscape" r:id="rId1"/>
  <rowBreaks count="1" manualBreakCount="1">
    <brk id="21" max="22" man="1"/>
  </rowBreaks>
  <colBreaks count="1" manualBreakCount="1">
    <brk id="21"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B54"/>
  <sheetViews>
    <sheetView view="pageBreakPreview" topLeftCell="C40" zoomScaleNormal="100" zoomScaleSheetLayoutView="100" workbookViewId="0">
      <selection activeCell="R47" sqref="R47:S47"/>
    </sheetView>
  </sheetViews>
  <sheetFormatPr defaultRowHeight="15" x14ac:dyDescent="0.25"/>
  <cols>
    <col min="1" max="1" width="6.85546875" customWidth="1"/>
    <col min="2" max="2" width="22.42578125" customWidth="1"/>
    <col min="3" max="3" width="6.85546875" customWidth="1"/>
    <col min="4" max="4" width="9.28515625" customWidth="1"/>
    <col min="5" max="5" width="8.85546875" customWidth="1"/>
    <col min="6" max="6" width="3.140625" bestFit="1" customWidth="1"/>
    <col min="8" max="8" width="3.140625" bestFit="1" customWidth="1"/>
    <col min="9" max="9" width="7" customWidth="1"/>
    <col min="10" max="10" width="3.140625" bestFit="1" customWidth="1"/>
    <col min="12" max="13" width="3.140625" bestFit="1" customWidth="1"/>
    <col min="15" max="15" width="3.140625" bestFit="1" customWidth="1"/>
    <col min="18" max="18" width="3.140625" bestFit="1" customWidth="1"/>
    <col min="20" max="20" width="3.140625" bestFit="1" customWidth="1"/>
  </cols>
  <sheetData>
    <row r="1" spans="1:28" s="12" customFormat="1" ht="18" customHeight="1" x14ac:dyDescent="0.2">
      <c r="A1" s="1125" t="s">
        <v>643</v>
      </c>
      <c r="B1" s="1125"/>
      <c r="C1" s="1126"/>
      <c r="D1" s="1125"/>
      <c r="E1" s="1125"/>
      <c r="F1" s="1125"/>
      <c r="G1" s="1125"/>
      <c r="H1" s="1126"/>
      <c r="I1" s="1126"/>
      <c r="J1" s="1125"/>
      <c r="K1" s="1125"/>
      <c r="L1" s="1125"/>
      <c r="M1" s="1125"/>
      <c r="N1" s="1125"/>
      <c r="O1" s="1125"/>
      <c r="P1" s="1125"/>
      <c r="Q1" s="1125"/>
      <c r="R1" s="1125"/>
      <c r="S1" s="1125"/>
      <c r="T1" s="1125"/>
      <c r="U1" s="1125"/>
      <c r="V1" s="92"/>
      <c r="W1" s="92"/>
    </row>
    <row r="2" spans="1:28" s="12" customFormat="1"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V2" s="92"/>
      <c r="W2" s="92"/>
    </row>
    <row r="3" spans="1:28" s="12" customFormat="1"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V3" s="92"/>
      <c r="W3" s="92"/>
    </row>
    <row r="4" spans="1:28" s="12" customFormat="1"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V4" s="92"/>
      <c r="W4" s="92"/>
    </row>
    <row r="5" spans="1:28" s="12" customFormat="1" ht="21.75"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V5" s="92"/>
      <c r="W5" s="92"/>
    </row>
    <row r="6" spans="1:28" s="12" customFormat="1" ht="35.450000000000003" customHeight="1" x14ac:dyDescent="0.2">
      <c r="A6" s="137" t="s">
        <v>63</v>
      </c>
      <c r="B6" s="414" t="s">
        <v>317</v>
      </c>
      <c r="C6" s="427">
        <v>47743</v>
      </c>
      <c r="D6" s="317">
        <v>468525.28</v>
      </c>
      <c r="E6" s="442">
        <v>44516</v>
      </c>
      <c r="F6" s="418">
        <v>1</v>
      </c>
      <c r="G6" s="418">
        <v>500000</v>
      </c>
      <c r="H6" s="418">
        <v>0</v>
      </c>
      <c r="I6" s="418">
        <v>0</v>
      </c>
      <c r="J6" s="418">
        <v>1</v>
      </c>
      <c r="K6" s="418">
        <v>468525.28</v>
      </c>
      <c r="L6" s="418">
        <v>1</v>
      </c>
      <c r="M6" s="418">
        <v>1</v>
      </c>
      <c r="N6" s="418">
        <v>468525.28</v>
      </c>
      <c r="O6" s="418">
        <v>0</v>
      </c>
      <c r="P6" s="418">
        <v>0</v>
      </c>
      <c r="Q6" s="417">
        <f t="shared" ref="Q6:Q19" si="0">K6-N6</f>
        <v>0</v>
      </c>
      <c r="R6" s="418">
        <v>0</v>
      </c>
      <c r="S6" s="418">
        <v>0</v>
      </c>
      <c r="T6" s="418">
        <v>0</v>
      </c>
      <c r="U6" s="418">
        <v>0</v>
      </c>
    </row>
    <row r="7" spans="1:28" s="12" customFormat="1" ht="35.450000000000003" customHeight="1" x14ac:dyDescent="0.2">
      <c r="A7" s="137" t="s">
        <v>538</v>
      </c>
      <c r="B7" s="414" t="s">
        <v>319</v>
      </c>
      <c r="C7" s="427">
        <v>48721</v>
      </c>
      <c r="D7" s="413">
        <v>148982.41</v>
      </c>
      <c r="E7" s="415">
        <v>44635</v>
      </c>
      <c r="F7" s="418">
        <v>5</v>
      </c>
      <c r="G7" s="418">
        <v>148982.41</v>
      </c>
      <c r="H7" s="418">
        <v>0</v>
      </c>
      <c r="I7" s="418">
        <v>0</v>
      </c>
      <c r="J7" s="418">
        <v>3</v>
      </c>
      <c r="K7" s="418">
        <v>75767.19</v>
      </c>
      <c r="L7" s="418">
        <v>3</v>
      </c>
      <c r="M7" s="418">
        <v>3</v>
      </c>
      <c r="N7" s="418">
        <v>75767.19</v>
      </c>
      <c r="O7" s="418">
        <v>2</v>
      </c>
      <c r="P7" s="418">
        <v>66600.010000000009</v>
      </c>
      <c r="Q7" s="417">
        <f t="shared" si="0"/>
        <v>0</v>
      </c>
      <c r="R7" s="418">
        <v>2</v>
      </c>
      <c r="S7" s="418">
        <v>32685</v>
      </c>
      <c r="T7" s="418">
        <v>1</v>
      </c>
      <c r="U7" s="418">
        <v>15000</v>
      </c>
    </row>
    <row r="8" spans="1:28" s="12" customFormat="1" ht="35.450000000000003" customHeight="1" x14ac:dyDescent="0.2">
      <c r="A8" s="137" t="s">
        <v>539</v>
      </c>
      <c r="B8" s="414" t="s">
        <v>330</v>
      </c>
      <c r="C8" s="427">
        <v>48802</v>
      </c>
      <c r="D8" s="413">
        <v>59856.800000000003</v>
      </c>
      <c r="E8" s="415">
        <v>44635</v>
      </c>
      <c r="F8" s="418">
        <v>3</v>
      </c>
      <c r="G8" s="418">
        <v>59856.4</v>
      </c>
      <c r="H8" s="418">
        <v>0</v>
      </c>
      <c r="I8" s="418">
        <v>0</v>
      </c>
      <c r="J8" s="418">
        <v>1</v>
      </c>
      <c r="K8" s="418">
        <v>18375</v>
      </c>
      <c r="L8" s="418">
        <v>1</v>
      </c>
      <c r="M8" s="418">
        <v>1</v>
      </c>
      <c r="N8" s="418">
        <v>18375</v>
      </c>
      <c r="O8" s="418">
        <v>2</v>
      </c>
      <c r="P8" s="418">
        <v>40150</v>
      </c>
      <c r="Q8" s="417">
        <f t="shared" si="0"/>
        <v>0</v>
      </c>
      <c r="R8" s="418">
        <v>0</v>
      </c>
      <c r="S8" s="418">
        <v>0</v>
      </c>
      <c r="T8" s="418">
        <v>0</v>
      </c>
      <c r="U8" s="418">
        <v>0</v>
      </c>
    </row>
    <row r="9" spans="1:28" s="12" customFormat="1" ht="35.450000000000003" customHeight="1" x14ac:dyDescent="0.2">
      <c r="A9" s="137" t="s">
        <v>242</v>
      </c>
      <c r="B9" s="414" t="s">
        <v>331</v>
      </c>
      <c r="C9" s="427">
        <v>50084</v>
      </c>
      <c r="D9" s="413">
        <v>0</v>
      </c>
      <c r="E9" s="415">
        <v>44635</v>
      </c>
      <c r="F9" s="418">
        <v>0</v>
      </c>
      <c r="G9" s="418">
        <v>0</v>
      </c>
      <c r="H9" s="418">
        <v>0</v>
      </c>
      <c r="I9" s="418">
        <v>0</v>
      </c>
      <c r="J9" s="418">
        <v>0</v>
      </c>
      <c r="K9" s="420">
        <v>0</v>
      </c>
      <c r="L9" s="418">
        <v>0</v>
      </c>
      <c r="M9" s="418">
        <v>0</v>
      </c>
      <c r="N9" s="418">
        <v>0</v>
      </c>
      <c r="O9" s="418">
        <v>0</v>
      </c>
      <c r="P9" s="418">
        <v>0</v>
      </c>
      <c r="Q9" s="417">
        <f t="shared" si="0"/>
        <v>0</v>
      </c>
      <c r="R9" s="418">
        <v>0</v>
      </c>
      <c r="S9" s="418">
        <v>0</v>
      </c>
      <c r="T9" s="418">
        <v>0</v>
      </c>
      <c r="U9" s="418">
        <v>0</v>
      </c>
    </row>
    <row r="10" spans="1:28" s="12" customFormat="1" ht="35.450000000000003" customHeight="1" x14ac:dyDescent="0.2">
      <c r="A10" s="137" t="s">
        <v>538</v>
      </c>
      <c r="B10" s="414" t="s">
        <v>332</v>
      </c>
      <c r="C10" s="427">
        <v>50101</v>
      </c>
      <c r="D10" s="188">
        <v>142360.48000000001</v>
      </c>
      <c r="E10" s="442">
        <v>44454</v>
      </c>
      <c r="F10" s="418">
        <v>7</v>
      </c>
      <c r="G10" s="418">
        <v>271003.40000000002</v>
      </c>
      <c r="H10" s="418">
        <v>0</v>
      </c>
      <c r="I10" s="418">
        <v>0</v>
      </c>
      <c r="J10" s="418">
        <v>5</v>
      </c>
      <c r="K10" s="418">
        <f>137360.48+20900</f>
        <v>158260.48000000001</v>
      </c>
      <c r="L10" s="418">
        <v>4</v>
      </c>
      <c r="M10" s="418">
        <v>4</v>
      </c>
      <c r="N10" s="418">
        <v>137360.48000000001</v>
      </c>
      <c r="O10" s="418">
        <v>2</v>
      </c>
      <c r="P10" s="418">
        <v>74739.399999999994</v>
      </c>
      <c r="Q10" s="417">
        <f t="shared" si="0"/>
        <v>20900</v>
      </c>
      <c r="R10" s="418">
        <v>2</v>
      </c>
      <c r="S10" s="418">
        <v>19734.260000000002</v>
      </c>
      <c r="T10" s="418">
        <v>2</v>
      </c>
      <c r="U10" s="418">
        <v>19439.77</v>
      </c>
    </row>
    <row r="11" spans="1:28" s="12" customFormat="1" ht="35.450000000000003" customHeight="1" x14ac:dyDescent="0.2">
      <c r="A11" s="137" t="s">
        <v>236</v>
      </c>
      <c r="B11" s="414" t="s">
        <v>363</v>
      </c>
      <c r="C11" s="427">
        <v>50564</v>
      </c>
      <c r="D11" s="188">
        <v>329770</v>
      </c>
      <c r="E11" s="442">
        <v>44454</v>
      </c>
      <c r="F11" s="418">
        <v>19</v>
      </c>
      <c r="G11" s="418">
        <v>482342.05</v>
      </c>
      <c r="H11" s="418">
        <v>2</v>
      </c>
      <c r="I11" s="418">
        <v>46499.05</v>
      </c>
      <c r="J11" s="418">
        <v>14</v>
      </c>
      <c r="K11" s="418">
        <v>327332.53000000003</v>
      </c>
      <c r="L11" s="418">
        <v>14</v>
      </c>
      <c r="M11" s="418">
        <v>14</v>
      </c>
      <c r="N11" s="418">
        <v>327332.53000000003</v>
      </c>
      <c r="O11" s="418">
        <v>3</v>
      </c>
      <c r="P11" s="418">
        <v>80700</v>
      </c>
      <c r="Q11" s="417">
        <f t="shared" si="0"/>
        <v>0</v>
      </c>
      <c r="R11" s="418">
        <v>9</v>
      </c>
      <c r="S11" s="418">
        <v>160500.63</v>
      </c>
      <c r="T11" s="418">
        <v>5</v>
      </c>
      <c r="U11" s="418">
        <v>75849.739999999991</v>
      </c>
    </row>
    <row r="12" spans="1:28" s="12" customFormat="1" ht="35.450000000000003" customHeight="1" x14ac:dyDescent="0.2">
      <c r="A12" s="137" t="s">
        <v>275</v>
      </c>
      <c r="B12" s="414" t="s">
        <v>364</v>
      </c>
      <c r="C12" s="427">
        <v>50566</v>
      </c>
      <c r="D12" s="317">
        <v>84505</v>
      </c>
      <c r="E12" s="442">
        <v>44454</v>
      </c>
      <c r="F12" s="418">
        <v>10</v>
      </c>
      <c r="G12" s="418">
        <v>270059.98</v>
      </c>
      <c r="H12" s="418">
        <v>0</v>
      </c>
      <c r="I12" s="418">
        <v>0</v>
      </c>
      <c r="J12" s="418">
        <v>3</v>
      </c>
      <c r="K12" s="418">
        <v>84505</v>
      </c>
      <c r="L12" s="418">
        <v>3</v>
      </c>
      <c r="M12" s="418">
        <v>3</v>
      </c>
      <c r="N12" s="418">
        <v>84504.66</v>
      </c>
      <c r="O12" s="418">
        <v>7</v>
      </c>
      <c r="P12" s="418">
        <v>180659.99</v>
      </c>
      <c r="Q12" s="417">
        <f t="shared" si="0"/>
        <v>0.33999999999650754</v>
      </c>
      <c r="R12" s="418">
        <v>1</v>
      </c>
      <c r="S12" s="418">
        <v>29400</v>
      </c>
      <c r="T12" s="418">
        <v>0</v>
      </c>
      <c r="U12" s="418">
        <v>0</v>
      </c>
    </row>
    <row r="13" spans="1:28" s="12" customFormat="1" ht="35.450000000000003" customHeight="1" x14ac:dyDescent="0.2">
      <c r="A13" s="137" t="s">
        <v>236</v>
      </c>
      <c r="B13" s="426" t="s">
        <v>420</v>
      </c>
      <c r="C13" s="427">
        <v>52061</v>
      </c>
      <c r="D13" s="413">
        <v>133710</v>
      </c>
      <c r="E13" s="415">
        <v>44635</v>
      </c>
      <c r="F13" s="418">
        <v>6</v>
      </c>
      <c r="G13" s="418">
        <v>133710</v>
      </c>
      <c r="H13" s="418">
        <v>0</v>
      </c>
      <c r="I13" s="418">
        <v>0</v>
      </c>
      <c r="J13" s="418">
        <v>4</v>
      </c>
      <c r="K13" s="418">
        <v>96000</v>
      </c>
      <c r="L13" s="418">
        <v>4</v>
      </c>
      <c r="M13" s="418">
        <v>4</v>
      </c>
      <c r="N13" s="418">
        <v>96000</v>
      </c>
      <c r="O13" s="418">
        <v>2</v>
      </c>
      <c r="P13" s="418">
        <v>37200</v>
      </c>
      <c r="Q13" s="417">
        <f t="shared" si="0"/>
        <v>0</v>
      </c>
      <c r="R13" s="418">
        <v>1</v>
      </c>
      <c r="S13" s="418">
        <v>24000</v>
      </c>
      <c r="T13" s="418">
        <v>0</v>
      </c>
      <c r="U13" s="418">
        <v>0</v>
      </c>
    </row>
    <row r="14" spans="1:28" s="12" customFormat="1" ht="35.450000000000003" customHeight="1" x14ac:dyDescent="0.2">
      <c r="A14" s="137" t="s">
        <v>55</v>
      </c>
      <c r="B14" s="414" t="s">
        <v>387</v>
      </c>
      <c r="C14" s="427">
        <v>52042</v>
      </c>
      <c r="D14" s="317">
        <v>99812</v>
      </c>
      <c r="E14" s="415">
        <v>44651</v>
      </c>
      <c r="F14" s="418">
        <v>3</v>
      </c>
      <c r="G14" s="418">
        <v>149735</v>
      </c>
      <c r="H14" s="418">
        <v>0</v>
      </c>
      <c r="I14" s="418">
        <v>0</v>
      </c>
      <c r="J14" s="418">
        <v>2</v>
      </c>
      <c r="K14" s="418">
        <v>99812</v>
      </c>
      <c r="L14" s="418">
        <v>2</v>
      </c>
      <c r="M14" s="418">
        <v>2</v>
      </c>
      <c r="N14" s="418">
        <v>99812</v>
      </c>
      <c r="O14" s="418">
        <v>1</v>
      </c>
      <c r="P14" s="418">
        <v>49923</v>
      </c>
      <c r="Q14" s="417">
        <f t="shared" si="0"/>
        <v>0</v>
      </c>
      <c r="R14" s="418">
        <v>0</v>
      </c>
      <c r="S14" s="418">
        <v>0</v>
      </c>
      <c r="T14" s="418">
        <v>0</v>
      </c>
      <c r="U14" s="418">
        <v>0</v>
      </c>
    </row>
    <row r="15" spans="1:28" s="12" customFormat="1" ht="35.450000000000003" customHeight="1" x14ac:dyDescent="0.2">
      <c r="A15" s="333" t="s">
        <v>151</v>
      </c>
      <c r="B15" s="414" t="s">
        <v>492</v>
      </c>
      <c r="C15" s="427">
        <v>64627</v>
      </c>
      <c r="D15" s="317">
        <v>91822.720000000001</v>
      </c>
      <c r="E15" s="415">
        <v>44697</v>
      </c>
      <c r="F15" s="418">
        <v>3</v>
      </c>
      <c r="G15" s="418">
        <v>150000</v>
      </c>
      <c r="H15" s="418">
        <v>0</v>
      </c>
      <c r="I15" s="418">
        <v>0</v>
      </c>
      <c r="J15" s="418">
        <v>2</v>
      </c>
      <c r="K15" s="418">
        <v>91822.720000000001</v>
      </c>
      <c r="L15" s="418">
        <v>2</v>
      </c>
      <c r="M15" s="418">
        <v>2</v>
      </c>
      <c r="N15" s="418">
        <v>91822.720000000001</v>
      </c>
      <c r="O15" s="418">
        <v>1</v>
      </c>
      <c r="P15" s="418">
        <v>50000</v>
      </c>
      <c r="Q15" s="417">
        <f t="shared" si="0"/>
        <v>0</v>
      </c>
      <c r="R15" s="418">
        <v>1</v>
      </c>
      <c r="S15" s="418">
        <v>15152.84</v>
      </c>
      <c r="T15" s="418">
        <v>1</v>
      </c>
      <c r="U15" s="418">
        <v>14794.29</v>
      </c>
      <c r="W15" s="434"/>
      <c r="X15" s="435"/>
      <c r="Y15" s="436"/>
      <c r="Z15" s="439"/>
      <c r="AA15" s="437"/>
      <c r="AB15" s="482"/>
    </row>
    <row r="16" spans="1:28" s="12" customFormat="1" ht="35.450000000000003" customHeight="1" x14ac:dyDescent="0.2">
      <c r="A16" s="456" t="s">
        <v>55</v>
      </c>
      <c r="B16" s="431" t="s">
        <v>387</v>
      </c>
      <c r="C16" s="432">
        <v>72464</v>
      </c>
      <c r="D16" s="413">
        <v>100000</v>
      </c>
      <c r="E16" s="343">
        <v>45191</v>
      </c>
      <c r="F16" s="342">
        <v>2</v>
      </c>
      <c r="G16" s="342">
        <v>100000</v>
      </c>
      <c r="H16" s="342">
        <v>0</v>
      </c>
      <c r="I16" s="342">
        <v>0</v>
      </c>
      <c r="J16" s="342">
        <v>2</v>
      </c>
      <c r="K16" s="342">
        <v>100000</v>
      </c>
      <c r="L16" s="418">
        <v>2</v>
      </c>
      <c r="M16" s="418">
        <v>2</v>
      </c>
      <c r="N16" s="418">
        <v>100000</v>
      </c>
      <c r="O16" s="418">
        <v>0</v>
      </c>
      <c r="P16" s="418">
        <v>0</v>
      </c>
      <c r="Q16" s="417">
        <f t="shared" si="0"/>
        <v>0</v>
      </c>
      <c r="R16" s="418">
        <v>1</v>
      </c>
      <c r="S16" s="418">
        <v>22705.74</v>
      </c>
      <c r="T16" s="418">
        <v>0</v>
      </c>
      <c r="U16" s="418">
        <v>0</v>
      </c>
      <c r="W16" s="434"/>
      <c r="X16" s="435"/>
      <c r="Y16" s="436"/>
      <c r="Z16" s="439"/>
      <c r="AA16" s="437"/>
      <c r="AB16" s="482"/>
    </row>
    <row r="17" spans="1:28" s="12" customFormat="1" ht="35.450000000000003" customHeight="1" x14ac:dyDescent="0.2">
      <c r="A17" s="333" t="s">
        <v>245</v>
      </c>
      <c r="B17" s="414" t="s">
        <v>573</v>
      </c>
      <c r="C17" s="427">
        <v>74842</v>
      </c>
      <c r="D17" s="413">
        <v>937023.58</v>
      </c>
      <c r="E17" s="343">
        <v>45369</v>
      </c>
      <c r="F17" s="342">
        <v>7</v>
      </c>
      <c r="G17" s="342">
        <v>937023.57000000007</v>
      </c>
      <c r="H17" s="342">
        <v>0</v>
      </c>
      <c r="I17" s="342">
        <v>0</v>
      </c>
      <c r="J17" s="342">
        <v>7</v>
      </c>
      <c r="K17" s="342">
        <v>937023.57000000007</v>
      </c>
      <c r="L17" s="418">
        <v>6</v>
      </c>
      <c r="M17" s="418">
        <v>0</v>
      </c>
      <c r="N17" s="418">
        <v>0</v>
      </c>
      <c r="O17" s="418">
        <v>0</v>
      </c>
      <c r="P17" s="418">
        <v>0</v>
      </c>
      <c r="Q17" s="417">
        <f t="shared" si="0"/>
        <v>937023.57000000007</v>
      </c>
      <c r="R17" s="418">
        <v>0</v>
      </c>
      <c r="S17" s="418">
        <v>0</v>
      </c>
      <c r="T17" s="418">
        <v>0</v>
      </c>
      <c r="U17" s="418">
        <v>0</v>
      </c>
      <c r="W17" s="434"/>
      <c r="X17" s="435"/>
      <c r="Y17" s="436"/>
      <c r="Z17" s="439"/>
      <c r="AA17" s="437"/>
      <c r="AB17" s="482"/>
    </row>
    <row r="18" spans="1:28" s="12" customFormat="1" ht="35.450000000000003" customHeight="1" x14ac:dyDescent="0.2">
      <c r="A18" s="456" t="s">
        <v>594</v>
      </c>
      <c r="B18" s="457" t="s">
        <v>595</v>
      </c>
      <c r="C18" s="432">
        <v>76761</v>
      </c>
      <c r="D18" s="413">
        <v>1054710.6399999999</v>
      </c>
      <c r="E18" s="343">
        <v>45677</v>
      </c>
      <c r="F18" s="342">
        <v>5</v>
      </c>
      <c r="G18" s="342">
        <v>999997.98</v>
      </c>
      <c r="H18" s="342">
        <v>0</v>
      </c>
      <c r="I18" s="342">
        <v>0</v>
      </c>
      <c r="J18" s="342">
        <v>5</v>
      </c>
      <c r="K18" s="342">
        <v>999997.98</v>
      </c>
      <c r="L18" s="418">
        <v>0</v>
      </c>
      <c r="M18" s="418">
        <v>0</v>
      </c>
      <c r="N18" s="418">
        <v>0</v>
      </c>
      <c r="O18" s="418">
        <v>0</v>
      </c>
      <c r="P18" s="418">
        <v>0</v>
      </c>
      <c r="Q18" s="417">
        <f t="shared" si="0"/>
        <v>999997.98</v>
      </c>
      <c r="R18" s="418">
        <v>0</v>
      </c>
      <c r="S18" s="418">
        <v>0</v>
      </c>
      <c r="T18" s="418">
        <v>0</v>
      </c>
      <c r="U18" s="418">
        <v>0</v>
      </c>
    </row>
    <row r="19" spans="1:28" s="92" customFormat="1" ht="44.45" customHeight="1" x14ac:dyDescent="0.2">
      <c r="A19" s="357" t="s">
        <v>273</v>
      </c>
      <c r="B19" s="355" t="s">
        <v>710</v>
      </c>
      <c r="C19" s="356">
        <v>87942</v>
      </c>
      <c r="D19" s="506">
        <v>1600000</v>
      </c>
      <c r="E19" s="343">
        <v>45889</v>
      </c>
      <c r="F19" s="342">
        <v>0</v>
      </c>
      <c r="G19" s="342">
        <v>0</v>
      </c>
      <c r="H19" s="342">
        <v>0</v>
      </c>
      <c r="I19" s="342">
        <v>0</v>
      </c>
      <c r="J19" s="342">
        <v>0</v>
      </c>
      <c r="K19" s="581">
        <v>0</v>
      </c>
      <c r="L19" s="342">
        <v>0</v>
      </c>
      <c r="M19" s="342">
        <v>0</v>
      </c>
      <c r="N19" s="342">
        <v>0</v>
      </c>
      <c r="O19" s="342">
        <v>0</v>
      </c>
      <c r="P19" s="342">
        <v>0</v>
      </c>
      <c r="Q19" s="366">
        <f t="shared" si="0"/>
        <v>0</v>
      </c>
      <c r="R19" s="342">
        <v>0</v>
      </c>
      <c r="S19" s="342">
        <v>0</v>
      </c>
      <c r="T19" s="342">
        <v>0</v>
      </c>
      <c r="U19" s="342">
        <v>0</v>
      </c>
    </row>
    <row r="20" spans="1:28" s="12" customFormat="1" ht="11.25" x14ac:dyDescent="0.2">
      <c r="A20" s="19" t="s">
        <v>1</v>
      </c>
      <c r="B20" s="19"/>
      <c r="C20" s="59"/>
      <c r="D20" s="20">
        <f>SUM(D6:D19)</f>
        <v>5251078.91</v>
      </c>
      <c r="E20" s="20"/>
      <c r="F20" s="20">
        <f t="shared" ref="F20:U20" si="1">SUM(F6:F19)</f>
        <v>71</v>
      </c>
      <c r="G20" s="20">
        <f t="shared" si="1"/>
        <v>4202710.790000001</v>
      </c>
      <c r="H20" s="20">
        <f t="shared" si="1"/>
        <v>2</v>
      </c>
      <c r="I20" s="20">
        <f t="shared" si="1"/>
        <v>46499.05</v>
      </c>
      <c r="J20" s="20">
        <f t="shared" si="1"/>
        <v>49</v>
      </c>
      <c r="K20" s="20">
        <f t="shared" si="1"/>
        <v>3457421.75</v>
      </c>
      <c r="L20" s="20">
        <f t="shared" si="1"/>
        <v>42</v>
      </c>
      <c r="M20" s="20">
        <f t="shared" si="1"/>
        <v>36</v>
      </c>
      <c r="N20" s="20">
        <f t="shared" si="1"/>
        <v>1499499.8599999999</v>
      </c>
      <c r="O20" s="20">
        <f t="shared" si="1"/>
        <v>20</v>
      </c>
      <c r="P20" s="20">
        <f t="shared" si="1"/>
        <v>579972.4</v>
      </c>
      <c r="Q20" s="20">
        <f t="shared" si="1"/>
        <v>1957921.8900000001</v>
      </c>
      <c r="R20" s="20">
        <f t="shared" si="1"/>
        <v>17</v>
      </c>
      <c r="S20" s="20">
        <f t="shared" si="1"/>
        <v>304178.47000000003</v>
      </c>
      <c r="T20" s="20">
        <f t="shared" si="1"/>
        <v>9</v>
      </c>
      <c r="U20" s="20">
        <f t="shared" si="1"/>
        <v>125083.79999999999</v>
      </c>
      <c r="V20" s="92"/>
      <c r="W20" s="92"/>
    </row>
    <row r="21" spans="1:28" ht="16.5" customHeight="1" x14ac:dyDescent="0.25">
      <c r="A21" s="210" t="s">
        <v>390</v>
      </c>
      <c r="B21" s="134"/>
      <c r="C21" s="134"/>
      <c r="D21" s="134"/>
      <c r="E21" s="134"/>
      <c r="F21" s="134"/>
      <c r="G21" s="134"/>
      <c r="H21" s="134"/>
      <c r="I21" s="134"/>
      <c r="J21" s="134"/>
      <c r="K21" s="134"/>
      <c r="L21" s="134"/>
      <c r="M21" s="134"/>
      <c r="N21" s="134"/>
      <c r="O21" s="134"/>
      <c r="P21" s="134"/>
      <c r="Q21" s="134"/>
      <c r="R21" s="134"/>
    </row>
    <row r="22" spans="1:28" s="23" customFormat="1" ht="23.25" customHeight="1" x14ac:dyDescent="0.25">
      <c r="A22" s="1124" t="s">
        <v>744</v>
      </c>
      <c r="B22" s="1124"/>
      <c r="C22" s="1124"/>
      <c r="D22" s="1124"/>
      <c r="E22" s="1124"/>
      <c r="F22" s="1124"/>
      <c r="G22" s="1124"/>
      <c r="H22" s="1124"/>
      <c r="I22" s="1124"/>
      <c r="J22" s="1124"/>
      <c r="K22" s="1124"/>
      <c r="L22" s="1124"/>
      <c r="M22" s="1124"/>
      <c r="N22" s="1124"/>
      <c r="O22" s="1124"/>
      <c r="P22" s="1124"/>
      <c r="Q22" s="1124"/>
      <c r="R22" s="1124"/>
      <c r="S22" s="1124"/>
      <c r="T22" s="1124"/>
      <c r="U22" s="1124"/>
      <c r="V22" s="87"/>
      <c r="X22" s="87"/>
    </row>
    <row r="23" spans="1:28" s="12" customFormat="1" ht="18" customHeight="1" x14ac:dyDescent="0.2">
      <c r="A23" s="1125" t="s">
        <v>644</v>
      </c>
      <c r="B23" s="1125"/>
      <c r="C23" s="1126"/>
      <c r="D23" s="1125"/>
      <c r="E23" s="1125"/>
      <c r="F23" s="1125"/>
      <c r="G23" s="1125"/>
      <c r="H23" s="1126"/>
      <c r="I23" s="1126"/>
      <c r="J23" s="1125"/>
      <c r="K23" s="1125"/>
      <c r="L23" s="1125"/>
      <c r="M23" s="1125"/>
      <c r="N23" s="1125"/>
      <c r="O23" s="1125"/>
      <c r="P23" s="1125"/>
      <c r="Q23" s="1125"/>
      <c r="R23" s="1125"/>
      <c r="S23" s="1125"/>
      <c r="T23" s="1125"/>
      <c r="U23" s="1125"/>
      <c r="V23" s="92"/>
      <c r="W23" s="92"/>
    </row>
    <row r="24" spans="1:28" s="12" customFormat="1" ht="20.25" customHeight="1" x14ac:dyDescent="0.2">
      <c r="A24" s="943" t="s">
        <v>248</v>
      </c>
      <c r="B24" s="943" t="s">
        <v>156</v>
      </c>
      <c r="C24" s="943" t="s">
        <v>282</v>
      </c>
      <c r="D24" s="943" t="s">
        <v>157</v>
      </c>
      <c r="E24" s="943" t="s">
        <v>158</v>
      </c>
      <c r="F24" s="968" t="s">
        <v>337</v>
      </c>
      <c r="G24" s="969"/>
      <c r="H24" s="968" t="s">
        <v>277</v>
      </c>
      <c r="I24" s="969"/>
      <c r="J24" s="968" t="s">
        <v>159</v>
      </c>
      <c r="K24" s="969"/>
      <c r="L24" s="947" t="s">
        <v>749</v>
      </c>
      <c r="M24" s="948"/>
      <c r="N24" s="948"/>
      <c r="O24" s="948"/>
      <c r="P24" s="949"/>
      <c r="Q24" s="943" t="s">
        <v>250</v>
      </c>
      <c r="R24" s="937" t="s">
        <v>750</v>
      </c>
      <c r="S24" s="938"/>
      <c r="T24" s="937" t="s">
        <v>751</v>
      </c>
      <c r="U24" s="938"/>
      <c r="V24" s="92"/>
      <c r="W24" s="92"/>
    </row>
    <row r="25" spans="1:28" s="12" customFormat="1" ht="10.15" customHeight="1" x14ac:dyDescent="0.2">
      <c r="A25" s="944"/>
      <c r="B25" s="944"/>
      <c r="C25" s="944"/>
      <c r="D25" s="944"/>
      <c r="E25" s="944"/>
      <c r="F25" s="939"/>
      <c r="G25" s="940"/>
      <c r="H25" s="939"/>
      <c r="I25" s="940"/>
      <c r="J25" s="939"/>
      <c r="K25" s="940"/>
      <c r="L25" s="975" t="s">
        <v>160</v>
      </c>
      <c r="M25" s="948"/>
      <c r="N25" s="949"/>
      <c r="O25" s="968" t="s">
        <v>626</v>
      </c>
      <c r="P25" s="969"/>
      <c r="Q25" s="944"/>
      <c r="R25" s="939"/>
      <c r="S25" s="940"/>
      <c r="T25" s="939"/>
      <c r="U25" s="940"/>
      <c r="V25" s="92"/>
      <c r="W25" s="92"/>
    </row>
    <row r="26" spans="1:28" s="12" customFormat="1" ht="21" customHeight="1" x14ac:dyDescent="0.2">
      <c r="A26" s="944"/>
      <c r="B26" s="944"/>
      <c r="C26" s="944"/>
      <c r="D26" s="944"/>
      <c r="E26" s="944"/>
      <c r="F26" s="941"/>
      <c r="G26" s="942"/>
      <c r="H26" s="941"/>
      <c r="I26" s="942"/>
      <c r="J26" s="941"/>
      <c r="K26" s="942"/>
      <c r="L26" s="950" t="s">
        <v>161</v>
      </c>
      <c r="M26" s="975" t="s">
        <v>247</v>
      </c>
      <c r="N26" s="949"/>
      <c r="O26" s="941"/>
      <c r="P26" s="942"/>
      <c r="Q26" s="946"/>
      <c r="R26" s="941"/>
      <c r="S26" s="942"/>
      <c r="T26" s="941"/>
      <c r="U26" s="942"/>
      <c r="V26" s="92"/>
      <c r="W26" s="92"/>
    </row>
    <row r="27" spans="1:28" s="12" customFormat="1" ht="21.75" x14ac:dyDescent="0.2">
      <c r="A27" s="946"/>
      <c r="B27" s="946"/>
      <c r="C27" s="946"/>
      <c r="D27" s="946"/>
      <c r="E27" s="946"/>
      <c r="F27" s="122" t="s">
        <v>161</v>
      </c>
      <c r="G27" s="123" t="s">
        <v>162</v>
      </c>
      <c r="H27" s="15" t="s">
        <v>161</v>
      </c>
      <c r="I27" s="16" t="s">
        <v>162</v>
      </c>
      <c r="J27" s="122" t="s">
        <v>161</v>
      </c>
      <c r="K27" s="123" t="s">
        <v>162</v>
      </c>
      <c r="L27" s="1119"/>
      <c r="M27" s="154" t="s">
        <v>161</v>
      </c>
      <c r="N27" s="125" t="s">
        <v>162</v>
      </c>
      <c r="O27" s="154" t="s">
        <v>161</v>
      </c>
      <c r="P27" s="125" t="s">
        <v>162</v>
      </c>
      <c r="Q27" s="16" t="s">
        <v>162</v>
      </c>
      <c r="R27" s="15" t="s">
        <v>161</v>
      </c>
      <c r="S27" s="16" t="s">
        <v>162</v>
      </c>
      <c r="T27" s="77" t="s">
        <v>161</v>
      </c>
      <c r="U27" s="78" t="s">
        <v>162</v>
      </c>
      <c r="V27" s="92"/>
      <c r="W27" s="92"/>
    </row>
    <row r="28" spans="1:28" s="12" customFormat="1" ht="22.5" x14ac:dyDescent="0.2">
      <c r="A28" s="137" t="s">
        <v>538</v>
      </c>
      <c r="B28" s="414" t="s">
        <v>357</v>
      </c>
      <c r="C28" s="427">
        <v>50121</v>
      </c>
      <c r="D28" s="413">
        <v>20000</v>
      </c>
      <c r="E28" s="415">
        <v>44218</v>
      </c>
      <c r="F28" s="418">
        <v>9</v>
      </c>
      <c r="G28" s="418">
        <v>175484.55</v>
      </c>
      <c r="H28" s="418">
        <v>0</v>
      </c>
      <c r="I28" s="418">
        <v>0</v>
      </c>
      <c r="J28" s="418">
        <v>1</v>
      </c>
      <c r="K28" s="418">
        <v>20000</v>
      </c>
      <c r="L28" s="418">
        <v>1</v>
      </c>
      <c r="M28" s="418">
        <v>1</v>
      </c>
      <c r="N28" s="418">
        <v>20000</v>
      </c>
      <c r="O28" s="418">
        <v>8</v>
      </c>
      <c r="P28" s="418">
        <v>155484.54999999999</v>
      </c>
      <c r="Q28" s="417">
        <f t="shared" ref="Q28:Q33" si="2">K28-N28</f>
        <v>0</v>
      </c>
      <c r="R28" s="418">
        <v>1</v>
      </c>
      <c r="S28" s="418">
        <v>19884</v>
      </c>
      <c r="T28" s="418">
        <v>1</v>
      </c>
      <c r="U28" s="418">
        <v>12357.76</v>
      </c>
    </row>
    <row r="29" spans="1:28" s="12" customFormat="1" ht="22.5" x14ac:dyDescent="0.2">
      <c r="A29" s="137" t="s">
        <v>538</v>
      </c>
      <c r="B29" s="414" t="s">
        <v>534</v>
      </c>
      <c r="C29" s="427">
        <v>50122</v>
      </c>
      <c r="D29" s="413">
        <v>0</v>
      </c>
      <c r="E29" s="415">
        <v>44218</v>
      </c>
      <c r="F29" s="418">
        <v>3</v>
      </c>
      <c r="G29" s="418">
        <v>59999.5</v>
      </c>
      <c r="H29" s="418">
        <v>0</v>
      </c>
      <c r="I29" s="418">
        <v>0</v>
      </c>
      <c r="J29" s="418">
        <v>0</v>
      </c>
      <c r="K29" s="418">
        <v>0</v>
      </c>
      <c r="L29" s="418">
        <v>0</v>
      </c>
      <c r="M29" s="418">
        <v>0</v>
      </c>
      <c r="N29" s="418">
        <v>0</v>
      </c>
      <c r="O29" s="418">
        <v>3</v>
      </c>
      <c r="P29" s="418">
        <v>59999.5</v>
      </c>
      <c r="Q29" s="417">
        <f t="shared" si="2"/>
        <v>0</v>
      </c>
      <c r="R29" s="418">
        <v>0</v>
      </c>
      <c r="S29" s="418">
        <v>0</v>
      </c>
      <c r="T29" s="418">
        <v>0</v>
      </c>
      <c r="U29" s="418">
        <v>0</v>
      </c>
    </row>
    <row r="30" spans="1:28" s="12" customFormat="1" ht="33.75" x14ac:dyDescent="0.2">
      <c r="A30" s="137" t="s">
        <v>538</v>
      </c>
      <c r="B30" s="414" t="s">
        <v>359</v>
      </c>
      <c r="C30" s="427">
        <v>50062</v>
      </c>
      <c r="D30" s="413">
        <v>0</v>
      </c>
      <c r="E30" s="415">
        <v>44218</v>
      </c>
      <c r="F30" s="418">
        <v>0</v>
      </c>
      <c r="G30" s="418">
        <v>0</v>
      </c>
      <c r="H30" s="418">
        <v>0</v>
      </c>
      <c r="I30" s="418">
        <v>0</v>
      </c>
      <c r="J30" s="418">
        <v>0</v>
      </c>
      <c r="K30" s="420">
        <v>0</v>
      </c>
      <c r="L30" s="418">
        <v>0</v>
      </c>
      <c r="M30" s="418">
        <v>0</v>
      </c>
      <c r="N30" s="418">
        <v>0</v>
      </c>
      <c r="O30" s="418">
        <v>0</v>
      </c>
      <c r="P30" s="418">
        <v>0</v>
      </c>
      <c r="Q30" s="417">
        <f t="shared" si="2"/>
        <v>0</v>
      </c>
      <c r="R30" s="418">
        <v>0</v>
      </c>
      <c r="S30" s="418">
        <v>0</v>
      </c>
      <c r="T30" s="418">
        <v>0</v>
      </c>
      <c r="U30" s="418">
        <v>0</v>
      </c>
    </row>
    <row r="31" spans="1:28" s="12" customFormat="1" ht="33.75" x14ac:dyDescent="0.2">
      <c r="A31" s="137" t="s">
        <v>538</v>
      </c>
      <c r="B31" s="414" t="s">
        <v>360</v>
      </c>
      <c r="C31" s="427">
        <v>50063</v>
      </c>
      <c r="D31" s="413">
        <v>0</v>
      </c>
      <c r="E31" s="415">
        <v>44218</v>
      </c>
      <c r="F31" s="418">
        <v>2</v>
      </c>
      <c r="G31" s="418">
        <v>19750</v>
      </c>
      <c r="H31" s="418">
        <v>0</v>
      </c>
      <c r="I31" s="418">
        <v>0</v>
      </c>
      <c r="J31" s="418">
        <v>0</v>
      </c>
      <c r="K31" s="418">
        <v>0</v>
      </c>
      <c r="L31" s="418">
        <v>0</v>
      </c>
      <c r="M31" s="418">
        <v>0</v>
      </c>
      <c r="N31" s="418">
        <v>0</v>
      </c>
      <c r="O31" s="418">
        <v>2</v>
      </c>
      <c r="P31" s="418">
        <v>17606.810000000001</v>
      </c>
      <c r="Q31" s="417">
        <v>0</v>
      </c>
      <c r="R31" s="418">
        <v>0</v>
      </c>
      <c r="S31" s="418">
        <v>0</v>
      </c>
      <c r="T31" s="418">
        <v>0</v>
      </c>
      <c r="U31" s="418">
        <v>0</v>
      </c>
    </row>
    <row r="32" spans="1:28" s="12" customFormat="1" ht="22.5" x14ac:dyDescent="0.2">
      <c r="A32" s="137" t="s">
        <v>242</v>
      </c>
      <c r="B32" s="414" t="s">
        <v>361</v>
      </c>
      <c r="C32" s="427">
        <v>50061</v>
      </c>
      <c r="D32" s="317">
        <f>186000-62000</f>
        <v>124000</v>
      </c>
      <c r="E32" s="415">
        <v>44255</v>
      </c>
      <c r="F32" s="418">
        <v>7</v>
      </c>
      <c r="G32" s="418">
        <v>217000</v>
      </c>
      <c r="H32" s="418">
        <v>1</v>
      </c>
      <c r="I32" s="418">
        <v>31000</v>
      </c>
      <c r="J32" s="418">
        <v>4</v>
      </c>
      <c r="K32" s="418">
        <v>124000</v>
      </c>
      <c r="L32" s="418">
        <v>4</v>
      </c>
      <c r="M32" s="418">
        <v>4</v>
      </c>
      <c r="N32" s="418">
        <f>186000-62000</f>
        <v>124000</v>
      </c>
      <c r="O32" s="418">
        <v>2</v>
      </c>
      <c r="P32" s="418">
        <v>62000</v>
      </c>
      <c r="Q32" s="417">
        <f t="shared" si="2"/>
        <v>0</v>
      </c>
      <c r="R32" s="418">
        <v>8</v>
      </c>
      <c r="S32" s="418">
        <v>124000</v>
      </c>
      <c r="T32" s="418">
        <v>8</v>
      </c>
      <c r="U32" s="418">
        <v>124000</v>
      </c>
    </row>
    <row r="33" spans="1:21" s="12" customFormat="1" ht="22.5" x14ac:dyDescent="0.2">
      <c r="A33" s="137" t="s">
        <v>242</v>
      </c>
      <c r="B33" s="414" t="s">
        <v>362</v>
      </c>
      <c r="C33" s="427">
        <v>50083</v>
      </c>
      <c r="D33" s="317">
        <v>168000</v>
      </c>
      <c r="E33" s="415">
        <v>44218</v>
      </c>
      <c r="F33" s="418">
        <v>7</v>
      </c>
      <c r="G33" s="418">
        <v>168000</v>
      </c>
      <c r="H33" s="418">
        <v>0</v>
      </c>
      <c r="I33" s="418">
        <v>0</v>
      </c>
      <c r="J33" s="418">
        <v>7</v>
      </c>
      <c r="K33" s="418">
        <v>168000</v>
      </c>
      <c r="L33" s="418">
        <v>7</v>
      </c>
      <c r="M33" s="418">
        <v>7</v>
      </c>
      <c r="N33" s="418">
        <v>168000</v>
      </c>
      <c r="O33" s="418">
        <v>0</v>
      </c>
      <c r="P33" s="418">
        <v>0</v>
      </c>
      <c r="Q33" s="417">
        <f t="shared" si="2"/>
        <v>0</v>
      </c>
      <c r="R33" s="418">
        <v>13</v>
      </c>
      <c r="S33" s="418">
        <v>160800</v>
      </c>
      <c r="T33" s="418">
        <v>13</v>
      </c>
      <c r="U33" s="418">
        <v>160800</v>
      </c>
    </row>
    <row r="34" spans="1:21" s="12" customFormat="1" ht="30.6" customHeight="1" x14ac:dyDescent="0.2">
      <c r="A34" s="137" t="s">
        <v>365</v>
      </c>
      <c r="B34" s="414" t="s">
        <v>366</v>
      </c>
      <c r="C34" s="427">
        <v>52025</v>
      </c>
      <c r="D34" s="413">
        <v>0</v>
      </c>
      <c r="E34" s="415">
        <v>44227</v>
      </c>
      <c r="F34" s="418">
        <v>1</v>
      </c>
      <c r="G34" s="418">
        <v>171000</v>
      </c>
      <c r="H34" s="1127" t="s">
        <v>493</v>
      </c>
      <c r="I34" s="1128"/>
      <c r="J34" s="1128"/>
      <c r="K34" s="1128"/>
      <c r="L34" s="1128"/>
      <c r="M34" s="1128"/>
      <c r="N34" s="1128"/>
      <c r="O34" s="1128"/>
      <c r="P34" s="1128"/>
      <c r="Q34" s="1128"/>
      <c r="R34" s="1128"/>
      <c r="S34" s="1128"/>
      <c r="T34" s="1128"/>
      <c r="U34" s="1129"/>
    </row>
    <row r="35" spans="1:21" s="12" customFormat="1" ht="30.6" customHeight="1" x14ac:dyDescent="0.2">
      <c r="A35" s="137" t="s">
        <v>275</v>
      </c>
      <c r="B35" s="414" t="s">
        <v>375</v>
      </c>
      <c r="C35" s="427">
        <v>52062</v>
      </c>
      <c r="D35" s="413">
        <v>0</v>
      </c>
      <c r="E35" s="415">
        <v>44206</v>
      </c>
      <c r="F35" s="418">
        <v>0</v>
      </c>
      <c r="G35" s="418">
        <v>0</v>
      </c>
      <c r="H35" s="418">
        <v>0</v>
      </c>
      <c r="I35" s="418">
        <v>0</v>
      </c>
      <c r="J35" s="418">
        <v>0</v>
      </c>
      <c r="K35" s="420">
        <v>0</v>
      </c>
      <c r="L35" s="418">
        <v>0</v>
      </c>
      <c r="M35" s="418">
        <v>0</v>
      </c>
      <c r="N35" s="418">
        <v>0</v>
      </c>
      <c r="O35" s="418">
        <v>0</v>
      </c>
      <c r="P35" s="418">
        <v>0</v>
      </c>
      <c r="Q35" s="417">
        <f t="shared" ref="Q35:Q51" si="3">K35-N35</f>
        <v>0</v>
      </c>
      <c r="R35" s="418">
        <v>0</v>
      </c>
      <c r="S35" s="418">
        <v>0</v>
      </c>
      <c r="T35" s="418">
        <v>0</v>
      </c>
      <c r="U35" s="418">
        <v>0</v>
      </c>
    </row>
    <row r="36" spans="1:21" s="12" customFormat="1" ht="22.5" x14ac:dyDescent="0.2">
      <c r="A36" s="137" t="s">
        <v>55</v>
      </c>
      <c r="B36" s="414" t="s">
        <v>367</v>
      </c>
      <c r="C36" s="427">
        <v>52022</v>
      </c>
      <c r="D36" s="413">
        <v>288000</v>
      </c>
      <c r="E36" s="415">
        <v>44206</v>
      </c>
      <c r="F36" s="418">
        <v>3</v>
      </c>
      <c r="G36" s="420">
        <v>432000</v>
      </c>
      <c r="H36" s="418">
        <v>1</v>
      </c>
      <c r="I36" s="418">
        <v>144000</v>
      </c>
      <c r="J36" s="418">
        <v>2</v>
      </c>
      <c r="K36" s="420">
        <v>288000</v>
      </c>
      <c r="L36" s="418">
        <v>2</v>
      </c>
      <c r="M36" s="418">
        <v>2</v>
      </c>
      <c r="N36" s="418">
        <v>288000</v>
      </c>
      <c r="O36" s="418"/>
      <c r="P36" s="418"/>
      <c r="Q36" s="417">
        <f t="shared" si="3"/>
        <v>0</v>
      </c>
      <c r="R36" s="418">
        <v>1</v>
      </c>
      <c r="S36" s="418">
        <v>73242.42</v>
      </c>
      <c r="T36" s="418">
        <v>1</v>
      </c>
      <c r="U36" s="418">
        <v>70832.31</v>
      </c>
    </row>
    <row r="37" spans="1:21" s="12" customFormat="1" ht="21" customHeight="1" x14ac:dyDescent="0.2">
      <c r="A37" s="137" t="s">
        <v>151</v>
      </c>
      <c r="B37" s="414" t="s">
        <v>378</v>
      </c>
      <c r="C37" s="427">
        <v>52101</v>
      </c>
      <c r="D37" s="413">
        <v>141903.46</v>
      </c>
      <c r="E37" s="415">
        <v>44227</v>
      </c>
      <c r="F37" s="418">
        <v>1</v>
      </c>
      <c r="G37" s="418">
        <v>144000</v>
      </c>
      <c r="H37" s="418">
        <v>0</v>
      </c>
      <c r="I37" s="418">
        <v>0</v>
      </c>
      <c r="J37" s="418">
        <v>1</v>
      </c>
      <c r="K37" s="418">
        <v>144000</v>
      </c>
      <c r="L37" s="418">
        <v>1</v>
      </c>
      <c r="M37" s="418">
        <v>1</v>
      </c>
      <c r="N37" s="418">
        <v>144000</v>
      </c>
      <c r="O37" s="418">
        <v>0</v>
      </c>
      <c r="P37" s="418">
        <v>0</v>
      </c>
      <c r="Q37" s="417">
        <f t="shared" si="3"/>
        <v>0</v>
      </c>
      <c r="R37" s="418">
        <v>1</v>
      </c>
      <c r="S37" s="418">
        <v>143900</v>
      </c>
      <c r="T37" s="418">
        <v>1</v>
      </c>
      <c r="U37" s="418">
        <v>141903.46</v>
      </c>
    </row>
    <row r="38" spans="1:21" s="12" customFormat="1" ht="39" customHeight="1" x14ac:dyDescent="0.2">
      <c r="A38" s="137" t="s">
        <v>151</v>
      </c>
      <c r="B38" s="414" t="s">
        <v>379</v>
      </c>
      <c r="C38" s="427">
        <v>52081</v>
      </c>
      <c r="D38" s="413">
        <v>144000</v>
      </c>
      <c r="E38" s="415">
        <v>44227</v>
      </c>
      <c r="F38" s="418">
        <v>3</v>
      </c>
      <c r="G38" s="418">
        <v>216000</v>
      </c>
      <c r="H38" s="418">
        <v>0</v>
      </c>
      <c r="I38" s="418">
        <v>0</v>
      </c>
      <c r="J38" s="418">
        <v>2</v>
      </c>
      <c r="K38" s="420">
        <v>144000</v>
      </c>
      <c r="L38" s="418">
        <v>2</v>
      </c>
      <c r="M38" s="418">
        <v>2</v>
      </c>
      <c r="N38" s="418">
        <v>144000</v>
      </c>
      <c r="O38" s="418">
        <v>1</v>
      </c>
      <c r="P38" s="418">
        <v>72000</v>
      </c>
      <c r="Q38" s="417">
        <f t="shared" si="3"/>
        <v>0</v>
      </c>
      <c r="R38" s="418">
        <v>2</v>
      </c>
      <c r="S38" s="418">
        <v>144000</v>
      </c>
      <c r="T38" s="418">
        <v>0</v>
      </c>
      <c r="U38" s="418">
        <v>0</v>
      </c>
    </row>
    <row r="39" spans="1:21" s="12" customFormat="1" ht="45" x14ac:dyDescent="0.2">
      <c r="A39" s="137" t="s">
        <v>151</v>
      </c>
      <c r="B39" s="414" t="s">
        <v>380</v>
      </c>
      <c r="C39" s="427">
        <v>52004</v>
      </c>
      <c r="D39" s="413">
        <v>108000</v>
      </c>
      <c r="E39" s="415">
        <v>44227</v>
      </c>
      <c r="F39" s="418">
        <v>1</v>
      </c>
      <c r="G39" s="418">
        <v>108000</v>
      </c>
      <c r="H39" s="418">
        <v>0</v>
      </c>
      <c r="I39" s="418">
        <v>0</v>
      </c>
      <c r="J39" s="418">
        <v>1</v>
      </c>
      <c r="K39" s="418">
        <v>108000</v>
      </c>
      <c r="L39" s="418">
        <v>1</v>
      </c>
      <c r="M39" s="418">
        <v>1</v>
      </c>
      <c r="N39" s="418">
        <v>108000</v>
      </c>
      <c r="O39" s="418">
        <v>0</v>
      </c>
      <c r="P39" s="418">
        <v>0</v>
      </c>
      <c r="Q39" s="417">
        <f t="shared" si="3"/>
        <v>0</v>
      </c>
      <c r="R39" s="418">
        <v>1</v>
      </c>
      <c r="S39" s="418">
        <v>108000</v>
      </c>
      <c r="T39" s="418">
        <v>0</v>
      </c>
      <c r="U39" s="418">
        <v>0</v>
      </c>
    </row>
    <row r="40" spans="1:21" s="12" customFormat="1" ht="22.5" x14ac:dyDescent="0.2">
      <c r="A40" s="137" t="s">
        <v>245</v>
      </c>
      <c r="B40" s="414" t="s">
        <v>466</v>
      </c>
      <c r="C40" s="427">
        <v>65341</v>
      </c>
      <c r="D40" s="413">
        <v>342942.14</v>
      </c>
      <c r="E40" s="415">
        <v>44592</v>
      </c>
      <c r="F40" s="418">
        <v>2</v>
      </c>
      <c r="G40" s="418">
        <v>342942.14</v>
      </c>
      <c r="H40" s="418">
        <v>0</v>
      </c>
      <c r="I40" s="418">
        <v>0</v>
      </c>
      <c r="J40" s="418">
        <v>2</v>
      </c>
      <c r="K40" s="418">
        <v>329699.52</v>
      </c>
      <c r="L40" s="418">
        <v>2</v>
      </c>
      <c r="M40" s="418">
        <v>2</v>
      </c>
      <c r="N40" s="418">
        <v>329699.52</v>
      </c>
      <c r="O40" s="418">
        <v>0</v>
      </c>
      <c r="P40" s="418">
        <v>0</v>
      </c>
      <c r="Q40" s="417">
        <f t="shared" si="3"/>
        <v>0</v>
      </c>
      <c r="R40" s="418">
        <v>1</v>
      </c>
      <c r="S40" s="418">
        <v>156457.14000000001</v>
      </c>
      <c r="T40" s="418">
        <v>0</v>
      </c>
      <c r="U40" s="418">
        <v>0</v>
      </c>
    </row>
    <row r="41" spans="1:21" s="12" customFormat="1" ht="33.75" x14ac:dyDescent="0.2">
      <c r="A41" s="137" t="s">
        <v>365</v>
      </c>
      <c r="B41" s="414" t="s">
        <v>366</v>
      </c>
      <c r="C41" s="427">
        <v>65681</v>
      </c>
      <c r="D41" s="188">
        <v>67873.960000000006</v>
      </c>
      <c r="E41" s="415">
        <v>44630</v>
      </c>
      <c r="F41" s="418">
        <v>5</v>
      </c>
      <c r="G41" s="418">
        <v>339369.80000000005</v>
      </c>
      <c r="H41" s="418">
        <v>1</v>
      </c>
      <c r="I41" s="418">
        <v>67873.960000000006</v>
      </c>
      <c r="J41" s="418">
        <v>3</v>
      </c>
      <c r="K41" s="418">
        <v>203621.88</v>
      </c>
      <c r="L41" s="418">
        <v>3</v>
      </c>
      <c r="M41" s="418">
        <v>1</v>
      </c>
      <c r="N41" s="418">
        <v>67873.960000000006</v>
      </c>
      <c r="O41" s="418">
        <v>1</v>
      </c>
      <c r="P41" s="418">
        <v>67873.960000000006</v>
      </c>
      <c r="Q41" s="417">
        <f>K41-N41</f>
        <v>135747.91999999998</v>
      </c>
      <c r="R41" s="418">
        <v>0</v>
      </c>
      <c r="S41" s="418">
        <v>0</v>
      </c>
      <c r="T41" s="418">
        <v>0</v>
      </c>
      <c r="U41" s="418">
        <v>0</v>
      </c>
    </row>
    <row r="42" spans="1:21" s="12" customFormat="1" ht="22.5" x14ac:dyDescent="0.2">
      <c r="A42" s="137" t="s">
        <v>245</v>
      </c>
      <c r="B42" s="414" t="s">
        <v>545</v>
      </c>
      <c r="C42" s="427">
        <v>70321</v>
      </c>
      <c r="D42" s="413">
        <v>544545.09</v>
      </c>
      <c r="E42" s="415">
        <v>45107</v>
      </c>
      <c r="F42" s="418">
        <v>8</v>
      </c>
      <c r="G42" s="418">
        <v>1159764.5599999998</v>
      </c>
      <c r="H42" s="418">
        <v>0</v>
      </c>
      <c r="I42" s="418">
        <v>0</v>
      </c>
      <c r="J42" s="418">
        <v>4</v>
      </c>
      <c r="K42" s="420">
        <v>544545.09</v>
      </c>
      <c r="L42" s="418">
        <v>3</v>
      </c>
      <c r="M42" s="418">
        <v>3</v>
      </c>
      <c r="N42" s="418">
        <v>330912.73</v>
      </c>
      <c r="O42" s="418">
        <v>1</v>
      </c>
      <c r="P42" s="418">
        <v>200000</v>
      </c>
      <c r="Q42" s="417">
        <f t="shared" si="3"/>
        <v>213632.36</v>
      </c>
      <c r="R42" s="418">
        <v>4</v>
      </c>
      <c r="S42" s="418">
        <v>328216.53000000003</v>
      </c>
      <c r="T42" s="418">
        <v>1</v>
      </c>
      <c r="U42" s="418">
        <v>61965</v>
      </c>
    </row>
    <row r="43" spans="1:21" s="12" customFormat="1" ht="22.5" x14ac:dyDescent="0.2">
      <c r="A43" s="333" t="s">
        <v>242</v>
      </c>
      <c r="B43" s="426" t="s">
        <v>549</v>
      </c>
      <c r="C43" s="427">
        <v>73022</v>
      </c>
      <c r="D43" s="413">
        <v>200000</v>
      </c>
      <c r="E43" s="415">
        <v>45124</v>
      </c>
      <c r="F43" s="418">
        <v>6</v>
      </c>
      <c r="G43" s="418">
        <v>300000</v>
      </c>
      <c r="H43" s="418">
        <v>1</v>
      </c>
      <c r="I43" s="418">
        <v>50000</v>
      </c>
      <c r="J43" s="418">
        <v>4</v>
      </c>
      <c r="K43" s="418">
        <v>200000</v>
      </c>
      <c r="L43" s="418">
        <v>4</v>
      </c>
      <c r="M43" s="418">
        <v>4</v>
      </c>
      <c r="N43" s="418">
        <v>200000</v>
      </c>
      <c r="O43" s="418">
        <v>1</v>
      </c>
      <c r="P43" s="418">
        <v>50000</v>
      </c>
      <c r="Q43" s="417">
        <f t="shared" si="3"/>
        <v>0</v>
      </c>
      <c r="R43" s="418">
        <v>6</v>
      </c>
      <c r="S43" s="418">
        <v>150000</v>
      </c>
      <c r="T43" s="418">
        <v>4</v>
      </c>
      <c r="U43" s="418">
        <v>120000</v>
      </c>
    </row>
    <row r="44" spans="1:21" s="12" customFormat="1" ht="33.75" x14ac:dyDescent="0.2">
      <c r="A44" s="333" t="s">
        <v>242</v>
      </c>
      <c r="B44" s="426" t="s">
        <v>551</v>
      </c>
      <c r="C44" s="427">
        <v>73061</v>
      </c>
      <c r="D44" s="413">
        <v>200000</v>
      </c>
      <c r="E44" s="415">
        <v>45124</v>
      </c>
      <c r="F44" s="342">
        <v>5</v>
      </c>
      <c r="G44" s="342">
        <v>250000</v>
      </c>
      <c r="H44" s="342">
        <v>1</v>
      </c>
      <c r="I44" s="342">
        <v>50000</v>
      </c>
      <c r="J44" s="342">
        <v>4</v>
      </c>
      <c r="K44" s="342">
        <v>200000</v>
      </c>
      <c r="L44" s="342">
        <v>4</v>
      </c>
      <c r="M44" s="342">
        <v>4</v>
      </c>
      <c r="N44" s="342">
        <v>200000</v>
      </c>
      <c r="O44" s="418">
        <v>0</v>
      </c>
      <c r="P44" s="418">
        <v>0</v>
      </c>
      <c r="Q44" s="417">
        <f t="shared" si="3"/>
        <v>0</v>
      </c>
      <c r="R44" s="418">
        <v>6</v>
      </c>
      <c r="S44" s="418">
        <v>150000</v>
      </c>
      <c r="T44" s="418">
        <v>3</v>
      </c>
      <c r="U44" s="418">
        <v>105000</v>
      </c>
    </row>
    <row r="45" spans="1:21" s="12" customFormat="1" ht="22.5" x14ac:dyDescent="0.2">
      <c r="A45" s="333" t="s">
        <v>242</v>
      </c>
      <c r="B45" s="426" t="s">
        <v>361</v>
      </c>
      <c r="C45" s="427">
        <v>73041</v>
      </c>
      <c r="D45" s="480">
        <v>312000</v>
      </c>
      <c r="E45" s="415">
        <v>45124</v>
      </c>
      <c r="F45" s="418">
        <v>8</v>
      </c>
      <c r="G45" s="418">
        <v>400000</v>
      </c>
      <c r="H45" s="418">
        <v>0</v>
      </c>
      <c r="I45" s="418">
        <v>0</v>
      </c>
      <c r="J45" s="418">
        <v>6</v>
      </c>
      <c r="K45" s="418">
        <v>300000</v>
      </c>
      <c r="L45" s="418">
        <v>6</v>
      </c>
      <c r="M45" s="418">
        <v>6</v>
      </c>
      <c r="N45" s="418">
        <v>300000</v>
      </c>
      <c r="O45" s="418">
        <v>2</v>
      </c>
      <c r="P45" s="418">
        <v>100000</v>
      </c>
      <c r="Q45" s="417">
        <f>K45-N45</f>
        <v>0</v>
      </c>
      <c r="R45" s="418">
        <v>12</v>
      </c>
      <c r="S45" s="418">
        <v>300000</v>
      </c>
      <c r="T45" s="418">
        <v>11</v>
      </c>
      <c r="U45" s="418">
        <v>305000</v>
      </c>
    </row>
    <row r="46" spans="1:21" s="12" customFormat="1" ht="33.75" x14ac:dyDescent="0.2">
      <c r="A46" s="333" t="s">
        <v>538</v>
      </c>
      <c r="B46" s="426" t="s">
        <v>570</v>
      </c>
      <c r="C46" s="427">
        <v>75541</v>
      </c>
      <c r="D46" s="480">
        <v>309169.91999999998</v>
      </c>
      <c r="E46" s="415">
        <v>45260</v>
      </c>
      <c r="F46" s="418">
        <v>13</v>
      </c>
      <c r="G46" s="418">
        <v>595039.87</v>
      </c>
      <c r="H46" s="418">
        <v>4</v>
      </c>
      <c r="I46" s="418">
        <v>183644.14</v>
      </c>
      <c r="J46" s="418">
        <v>7</v>
      </c>
      <c r="K46" s="418">
        <v>309169.91999999998</v>
      </c>
      <c r="L46" s="418">
        <v>7</v>
      </c>
      <c r="M46" s="418">
        <v>7</v>
      </c>
      <c r="N46" s="418">
        <v>309169.91999999998</v>
      </c>
      <c r="O46" s="418">
        <v>2</v>
      </c>
      <c r="P46" s="418">
        <v>99000</v>
      </c>
      <c r="Q46" s="417">
        <f>K46-N46</f>
        <v>0</v>
      </c>
      <c r="R46" s="418">
        <v>3</v>
      </c>
      <c r="S46" s="418">
        <v>50950.25</v>
      </c>
      <c r="T46" s="418">
        <v>2</v>
      </c>
      <c r="U46" s="418">
        <v>35216.76</v>
      </c>
    </row>
    <row r="47" spans="1:21" s="12" customFormat="1" ht="68.25" customHeight="1" x14ac:dyDescent="0.2">
      <c r="A47" s="333" t="s">
        <v>539</v>
      </c>
      <c r="B47" s="426" t="s">
        <v>571</v>
      </c>
      <c r="C47" s="427">
        <v>75542</v>
      </c>
      <c r="D47" s="188">
        <v>49493.120000000003</v>
      </c>
      <c r="E47" s="415">
        <v>45260</v>
      </c>
      <c r="F47" s="418">
        <v>2</v>
      </c>
      <c r="G47" s="418">
        <v>98493.119999999995</v>
      </c>
      <c r="H47" s="418">
        <v>0</v>
      </c>
      <c r="I47" s="418">
        <v>0</v>
      </c>
      <c r="J47" s="418">
        <v>1</v>
      </c>
      <c r="K47" s="418">
        <v>49493.120000000003</v>
      </c>
      <c r="L47" s="418">
        <v>1</v>
      </c>
      <c r="M47" s="418">
        <v>1</v>
      </c>
      <c r="N47" s="418">
        <v>49493.120000000003</v>
      </c>
      <c r="O47" s="418">
        <v>1</v>
      </c>
      <c r="P47" s="418">
        <v>49000</v>
      </c>
      <c r="Q47" s="417">
        <f t="shared" si="3"/>
        <v>0</v>
      </c>
      <c r="R47" s="418">
        <v>1</v>
      </c>
      <c r="S47" s="418">
        <v>49493.120000000003</v>
      </c>
      <c r="T47" s="418">
        <v>0</v>
      </c>
      <c r="U47" s="418">
        <v>0</v>
      </c>
    </row>
    <row r="48" spans="1:21" s="12" customFormat="1" ht="22.5" x14ac:dyDescent="0.2">
      <c r="A48" s="456" t="s">
        <v>538</v>
      </c>
      <c r="B48" s="457" t="s">
        <v>587</v>
      </c>
      <c r="C48" s="432">
        <v>76342</v>
      </c>
      <c r="D48" s="481">
        <v>496278.95</v>
      </c>
      <c r="E48" s="433">
        <v>45290</v>
      </c>
      <c r="F48" s="418">
        <v>15</v>
      </c>
      <c r="G48" s="418">
        <v>713398.89000000013</v>
      </c>
      <c r="H48" s="418">
        <v>0</v>
      </c>
      <c r="I48" s="418">
        <v>0</v>
      </c>
      <c r="J48" s="418">
        <v>10</v>
      </c>
      <c r="K48" s="418">
        <v>495578.63</v>
      </c>
      <c r="L48" s="418">
        <v>10</v>
      </c>
      <c r="M48" s="418">
        <v>10</v>
      </c>
      <c r="N48" s="418">
        <v>495578.63</v>
      </c>
      <c r="O48" s="418">
        <v>5</v>
      </c>
      <c r="P48" s="418">
        <v>217120.25999999998</v>
      </c>
      <c r="Q48" s="417">
        <f t="shared" si="3"/>
        <v>0</v>
      </c>
      <c r="R48" s="418">
        <v>11</v>
      </c>
      <c r="S48" s="418">
        <v>346886.07999999996</v>
      </c>
      <c r="T48" s="418">
        <v>5</v>
      </c>
      <c r="U48" s="418">
        <v>123582.95000000001</v>
      </c>
    </row>
    <row r="49" spans="1:24" s="12" customFormat="1" ht="33.75" x14ac:dyDescent="0.2">
      <c r="A49" s="333" t="s">
        <v>275</v>
      </c>
      <c r="B49" s="426" t="s">
        <v>630</v>
      </c>
      <c r="C49" s="427">
        <v>79222</v>
      </c>
      <c r="D49" s="472">
        <v>206479.03</v>
      </c>
      <c r="E49" s="442">
        <v>45412</v>
      </c>
      <c r="F49" s="418">
        <v>2</v>
      </c>
      <c r="G49" s="418">
        <v>47743.55</v>
      </c>
      <c r="H49" s="418">
        <v>0</v>
      </c>
      <c r="I49" s="418">
        <v>0</v>
      </c>
      <c r="J49" s="418">
        <v>1</v>
      </c>
      <c r="K49" s="418">
        <v>19904.89</v>
      </c>
      <c r="L49" s="418">
        <v>1</v>
      </c>
      <c r="M49" s="418">
        <v>1</v>
      </c>
      <c r="N49" s="418">
        <v>19904.89</v>
      </c>
      <c r="O49" s="418">
        <v>1</v>
      </c>
      <c r="P49" s="418">
        <v>27838.66</v>
      </c>
      <c r="Q49" s="417">
        <f t="shared" si="3"/>
        <v>0</v>
      </c>
      <c r="R49" s="418">
        <v>2</v>
      </c>
      <c r="S49" s="418">
        <v>19904.89</v>
      </c>
      <c r="T49" s="418">
        <v>1</v>
      </c>
      <c r="U49" s="418">
        <v>15920</v>
      </c>
    </row>
    <row r="50" spans="1:24" s="12" customFormat="1" ht="22.5" x14ac:dyDescent="0.2">
      <c r="A50" s="333" t="s">
        <v>236</v>
      </c>
      <c r="B50" s="426" t="s">
        <v>629</v>
      </c>
      <c r="C50" s="427">
        <v>79842</v>
      </c>
      <c r="D50" s="472">
        <v>466408.09</v>
      </c>
      <c r="E50" s="442">
        <v>45472</v>
      </c>
      <c r="F50" s="418">
        <v>20</v>
      </c>
      <c r="G50" s="418">
        <v>796144.55000000016</v>
      </c>
      <c r="H50" s="418">
        <v>0</v>
      </c>
      <c r="I50" s="418">
        <v>0</v>
      </c>
      <c r="J50" s="418">
        <v>13</v>
      </c>
      <c r="K50" s="418">
        <v>561299.14</v>
      </c>
      <c r="L50" s="418">
        <v>13</v>
      </c>
      <c r="M50" s="418">
        <v>13</v>
      </c>
      <c r="N50" s="418">
        <v>561299.14</v>
      </c>
      <c r="O50" s="418">
        <v>7</v>
      </c>
      <c r="P50" s="418">
        <v>233115.23</v>
      </c>
      <c r="Q50" s="417">
        <f t="shared" si="3"/>
        <v>0</v>
      </c>
      <c r="R50" s="418">
        <v>17</v>
      </c>
      <c r="S50" s="418">
        <v>549628.05000000005</v>
      </c>
      <c r="T50" s="418">
        <v>8</v>
      </c>
      <c r="U50" s="418">
        <v>272798.33</v>
      </c>
    </row>
    <row r="51" spans="1:24" s="92" customFormat="1" ht="33.75" x14ac:dyDescent="0.2">
      <c r="A51" s="357" t="s">
        <v>273</v>
      </c>
      <c r="B51" s="355" t="s">
        <v>711</v>
      </c>
      <c r="C51" s="356">
        <v>87702</v>
      </c>
      <c r="D51" s="493">
        <v>718689.19</v>
      </c>
      <c r="E51" s="360">
        <v>45870</v>
      </c>
      <c r="F51" s="342">
        <v>19</v>
      </c>
      <c r="G51" s="342">
        <v>726437.61999999988</v>
      </c>
      <c r="H51" s="342">
        <v>0</v>
      </c>
      <c r="I51" s="342">
        <v>0</v>
      </c>
      <c r="J51" s="342">
        <v>19</v>
      </c>
      <c r="K51" s="342">
        <v>723246.98</v>
      </c>
      <c r="L51" s="342">
        <v>19</v>
      </c>
      <c r="M51" s="342">
        <v>19</v>
      </c>
      <c r="N51" s="342">
        <v>723246.98</v>
      </c>
      <c r="O51" s="342">
        <v>0</v>
      </c>
      <c r="P51" s="342">
        <v>0</v>
      </c>
      <c r="Q51" s="366">
        <f t="shared" si="3"/>
        <v>0</v>
      </c>
      <c r="R51" s="342">
        <v>0</v>
      </c>
      <c r="S51" s="342">
        <v>0</v>
      </c>
      <c r="T51" s="342">
        <v>0</v>
      </c>
      <c r="U51" s="342">
        <v>0</v>
      </c>
    </row>
    <row r="52" spans="1:24" s="12" customFormat="1" ht="11.25" x14ac:dyDescent="0.2">
      <c r="A52" s="19" t="s">
        <v>1</v>
      </c>
      <c r="B52" s="19"/>
      <c r="C52" s="59"/>
      <c r="D52" s="20">
        <f>SUM(D28:D51)</f>
        <v>4907782.9499999993</v>
      </c>
      <c r="E52" s="20"/>
      <c r="F52" s="20">
        <f t="shared" ref="F52:U52" si="4">SUM(F28:F51)</f>
        <v>142</v>
      </c>
      <c r="G52" s="20">
        <f t="shared" si="4"/>
        <v>7480568.1499999994</v>
      </c>
      <c r="H52" s="20">
        <f t="shared" si="4"/>
        <v>9</v>
      </c>
      <c r="I52" s="20">
        <f t="shared" si="4"/>
        <v>526518.10000000009</v>
      </c>
      <c r="J52" s="20">
        <f t="shared" si="4"/>
        <v>92</v>
      </c>
      <c r="K52" s="20">
        <f t="shared" si="4"/>
        <v>4932559.17</v>
      </c>
      <c r="L52" s="20">
        <f t="shared" si="4"/>
        <v>91</v>
      </c>
      <c r="M52" s="20">
        <f t="shared" si="4"/>
        <v>89</v>
      </c>
      <c r="N52" s="20">
        <f t="shared" si="4"/>
        <v>4583178.8900000006</v>
      </c>
      <c r="O52" s="20">
        <f t="shared" si="4"/>
        <v>37</v>
      </c>
      <c r="P52" s="20">
        <f t="shared" si="4"/>
        <v>1411038.97</v>
      </c>
      <c r="Q52" s="20">
        <f t="shared" si="4"/>
        <v>349380.27999999997</v>
      </c>
      <c r="R52" s="20">
        <f t="shared" si="4"/>
        <v>90</v>
      </c>
      <c r="S52" s="20">
        <f t="shared" si="4"/>
        <v>2875362.4800000004</v>
      </c>
      <c r="T52" s="20">
        <f t="shared" si="4"/>
        <v>59</v>
      </c>
      <c r="U52" s="20">
        <f t="shared" si="4"/>
        <v>1549376.57</v>
      </c>
      <c r="V52" s="92"/>
      <c r="W52" s="92"/>
    </row>
    <row r="53" spans="1:24" ht="15" customHeight="1" x14ac:dyDescent="0.25">
      <c r="A53" s="210" t="s">
        <v>390</v>
      </c>
      <c r="B53" s="134"/>
      <c r="C53" s="134"/>
      <c r="D53" s="134"/>
      <c r="E53" s="134"/>
      <c r="F53" s="134"/>
      <c r="G53" s="134"/>
      <c r="H53" s="134"/>
      <c r="I53" s="134"/>
      <c r="J53" s="134"/>
      <c r="K53" s="134"/>
      <c r="L53" s="134"/>
      <c r="M53" s="134"/>
      <c r="N53" s="134"/>
      <c r="O53" s="134"/>
      <c r="P53" s="134"/>
      <c r="Q53" s="134"/>
      <c r="R53" s="134"/>
    </row>
    <row r="54" spans="1:24" s="23" customFormat="1" ht="22.15" customHeight="1" x14ac:dyDescent="0.25">
      <c r="A54" s="1124" t="s">
        <v>744</v>
      </c>
      <c r="B54" s="1124"/>
      <c r="C54" s="1124"/>
      <c r="D54" s="1124"/>
      <c r="E54" s="1124"/>
      <c r="F54" s="1124"/>
      <c r="G54" s="1124"/>
      <c r="H54" s="1124"/>
      <c r="I54" s="1124"/>
      <c r="J54" s="1124"/>
      <c r="K54" s="1124"/>
      <c r="L54" s="1124"/>
      <c r="M54" s="1124"/>
      <c r="N54" s="1124"/>
      <c r="O54" s="1124"/>
      <c r="P54" s="1124"/>
      <c r="Q54" s="1124"/>
      <c r="R54" s="1124"/>
      <c r="S54" s="1124"/>
      <c r="T54" s="1124"/>
      <c r="U54" s="1124"/>
      <c r="V54" s="87"/>
      <c r="X54" s="87"/>
    </row>
  </sheetData>
  <mergeCells count="37">
    <mergeCell ref="H34:U34"/>
    <mergeCell ref="A23:U23"/>
    <mergeCell ref="A24:A27"/>
    <mergeCell ref="B24:B27"/>
    <mergeCell ref="C24:C27"/>
    <mergeCell ref="D24:D27"/>
    <mergeCell ref="E24:E27"/>
    <mergeCell ref="F24:G26"/>
    <mergeCell ref="H24:I26"/>
    <mergeCell ref="J24:K26"/>
    <mergeCell ref="L24:P24"/>
    <mergeCell ref="Q24:Q26"/>
    <mergeCell ref="R24:S26"/>
    <mergeCell ref="T24:U26"/>
    <mergeCell ref="L25:N25"/>
    <mergeCell ref="O25:P26"/>
    <mergeCell ref="A54:U54"/>
    <mergeCell ref="L26:L27"/>
    <mergeCell ref="M26:N26"/>
    <mergeCell ref="A1:U1"/>
    <mergeCell ref="A2:A5"/>
    <mergeCell ref="B2:B5"/>
    <mergeCell ref="C2:C5"/>
    <mergeCell ref="D2:D5"/>
    <mergeCell ref="E2:E5"/>
    <mergeCell ref="F2:G4"/>
    <mergeCell ref="J2:K4"/>
    <mergeCell ref="L2:P2"/>
    <mergeCell ref="Q2:Q4"/>
    <mergeCell ref="R2:S4"/>
    <mergeCell ref="T2:U4"/>
    <mergeCell ref="M4:N4"/>
    <mergeCell ref="A22:U22"/>
    <mergeCell ref="H2:I4"/>
    <mergeCell ref="L3:N3"/>
    <mergeCell ref="O3:P4"/>
    <mergeCell ref="L4:L5"/>
  </mergeCells>
  <printOptions horizontalCentered="1"/>
  <pageMargins left="0.70866141732283472" right="0.70866141732283472" top="0.74803149606299213" bottom="0.74803149606299213" header="0.31496062992125984" footer="0.31496062992125984"/>
  <pageSetup paperSize="9" scale="58" orientation="landscape" r:id="rId1"/>
  <rowBreaks count="1" manualBreakCount="1">
    <brk id="22" max="18" man="1"/>
  </rowBreaks>
  <colBreaks count="1" manualBreakCount="1">
    <brk id="21"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C49"/>
  <sheetViews>
    <sheetView view="pageBreakPreview" topLeftCell="C27" zoomScaleNormal="100" zoomScaleSheetLayoutView="100" zoomScalePageLayoutView="70" workbookViewId="0">
      <selection activeCell="R38" sqref="R38:S38"/>
    </sheetView>
  </sheetViews>
  <sheetFormatPr defaultColWidth="6.42578125" defaultRowHeight="11.25" x14ac:dyDescent="0.2"/>
  <cols>
    <col min="1" max="1" width="6.42578125" style="12"/>
    <col min="2" max="2" width="34.28515625" style="12" customWidth="1"/>
    <col min="3" max="3" width="9.140625" style="12" customWidth="1"/>
    <col min="4" max="4" width="8.85546875" style="12" customWidth="1"/>
    <col min="5" max="5" width="7.85546875" style="12" customWidth="1"/>
    <col min="6" max="6" width="3.28515625" style="12" bestFit="1" customWidth="1"/>
    <col min="7" max="7" width="9.42578125" style="12" customWidth="1"/>
    <col min="8" max="8" width="3.28515625" style="12" bestFit="1" customWidth="1"/>
    <col min="9" max="9" width="6.140625" style="12" customWidth="1"/>
    <col min="10" max="10" width="3.28515625" style="12" bestFit="1" customWidth="1"/>
    <col min="11" max="11" width="8.28515625" style="12" customWidth="1"/>
    <col min="12" max="13" width="3.28515625" style="12" bestFit="1" customWidth="1"/>
    <col min="14" max="14" width="8" style="12" customWidth="1"/>
    <col min="15" max="15" width="3.140625" style="12" customWidth="1"/>
    <col min="16" max="16" width="8.5703125" style="12" customWidth="1"/>
    <col min="17" max="17" width="9" style="12" customWidth="1"/>
    <col min="18" max="18" width="3.28515625" style="12" bestFit="1" customWidth="1"/>
    <col min="19" max="19" width="8.85546875" style="12" customWidth="1"/>
    <col min="20" max="20" width="3.28515625" style="12" bestFit="1" customWidth="1"/>
    <col min="21" max="21" width="9.7109375" style="12" customWidth="1"/>
    <col min="22" max="22" width="6.42578125" style="92"/>
    <col min="23" max="23" width="7.140625" style="92" bestFit="1" customWidth="1"/>
    <col min="24" max="28" width="6.42578125" style="12"/>
    <col min="29" max="29" width="11.28515625" style="12" bestFit="1" customWidth="1"/>
    <col min="30" max="16384" width="6.42578125" style="12"/>
  </cols>
  <sheetData>
    <row r="1" spans="1:23" x14ac:dyDescent="0.2">
      <c r="A1" s="1125" t="s">
        <v>645</v>
      </c>
      <c r="B1" s="1125"/>
      <c r="C1" s="1126"/>
      <c r="D1" s="1125"/>
      <c r="E1" s="1125"/>
      <c r="F1" s="1125"/>
      <c r="G1" s="1125"/>
      <c r="H1" s="1126"/>
      <c r="I1" s="1126"/>
      <c r="J1" s="1125"/>
      <c r="K1" s="1125"/>
      <c r="L1" s="1125"/>
      <c r="M1" s="1125"/>
      <c r="N1" s="1125"/>
      <c r="O1" s="1125"/>
      <c r="P1" s="1125"/>
      <c r="Q1" s="1125"/>
      <c r="R1" s="1125"/>
      <c r="S1" s="1125"/>
      <c r="T1" s="1125"/>
      <c r="U1" s="1125"/>
      <c r="V1" s="12"/>
    </row>
    <row r="2" spans="1:23"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row>
    <row r="3" spans="1:23"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row>
    <row r="4" spans="1:23"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row>
    <row r="5" spans="1:23" ht="21"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row>
    <row r="6" spans="1:23" ht="33.75" x14ac:dyDescent="0.2">
      <c r="A6" s="316" t="s">
        <v>538</v>
      </c>
      <c r="B6" s="414" t="s">
        <v>335</v>
      </c>
      <c r="C6" s="427">
        <v>40581</v>
      </c>
      <c r="D6" s="317">
        <v>300000</v>
      </c>
      <c r="E6" s="469">
        <v>44043</v>
      </c>
      <c r="F6" s="418">
        <v>15</v>
      </c>
      <c r="G6" s="418">
        <v>372692.43</v>
      </c>
      <c r="H6" s="418">
        <v>0</v>
      </c>
      <c r="I6" s="418">
        <v>0</v>
      </c>
      <c r="J6" s="418">
        <v>12</v>
      </c>
      <c r="K6" s="418">
        <v>294068.89</v>
      </c>
      <c r="L6" s="418">
        <v>12</v>
      </c>
      <c r="M6" s="418">
        <v>12</v>
      </c>
      <c r="N6" s="418">
        <v>294068.89</v>
      </c>
      <c r="O6" s="418">
        <v>3</v>
      </c>
      <c r="P6" s="418">
        <v>67792.429999999993</v>
      </c>
      <c r="Q6" s="418">
        <f t="shared" ref="Q6:Q19" si="0">K6-N6</f>
        <v>0</v>
      </c>
      <c r="R6" s="418">
        <v>8</v>
      </c>
      <c r="S6" s="418">
        <v>167405.88</v>
      </c>
      <c r="T6" s="418">
        <v>5</v>
      </c>
      <c r="U6" s="418">
        <v>109023.57999999999</v>
      </c>
      <c r="V6" s="12"/>
      <c r="W6" s="12"/>
    </row>
    <row r="7" spans="1:23" ht="33.75" x14ac:dyDescent="0.2">
      <c r="A7" s="316" t="s">
        <v>538</v>
      </c>
      <c r="B7" s="414" t="s">
        <v>291</v>
      </c>
      <c r="C7" s="427">
        <v>40921</v>
      </c>
      <c r="D7" s="317">
        <v>400000</v>
      </c>
      <c r="E7" s="469">
        <v>44043</v>
      </c>
      <c r="F7" s="418">
        <v>1</v>
      </c>
      <c r="G7" s="418">
        <v>22000</v>
      </c>
      <c r="H7" s="418">
        <v>0</v>
      </c>
      <c r="I7" s="418">
        <v>0</v>
      </c>
      <c r="J7" s="418">
        <v>1</v>
      </c>
      <c r="K7" s="418">
        <v>22000</v>
      </c>
      <c r="L7" s="418">
        <v>1</v>
      </c>
      <c r="M7" s="418">
        <v>1</v>
      </c>
      <c r="N7" s="418">
        <v>22000</v>
      </c>
      <c r="O7" s="418">
        <v>0</v>
      </c>
      <c r="P7" s="418">
        <v>0</v>
      </c>
      <c r="Q7" s="418">
        <f t="shared" si="0"/>
        <v>0</v>
      </c>
      <c r="R7" s="418">
        <v>0</v>
      </c>
      <c r="S7" s="418">
        <v>0</v>
      </c>
      <c r="T7" s="418">
        <v>0</v>
      </c>
      <c r="U7" s="418">
        <v>0</v>
      </c>
      <c r="V7" s="12"/>
      <c r="W7" s="12"/>
    </row>
    <row r="8" spans="1:23" ht="45" x14ac:dyDescent="0.2">
      <c r="A8" s="316" t="s">
        <v>538</v>
      </c>
      <c r="B8" s="414" t="s">
        <v>292</v>
      </c>
      <c r="C8" s="427">
        <v>41682</v>
      </c>
      <c r="D8" s="317">
        <v>250000</v>
      </c>
      <c r="E8" s="469">
        <v>44043</v>
      </c>
      <c r="F8" s="418">
        <v>15</v>
      </c>
      <c r="G8" s="418">
        <v>374500</v>
      </c>
      <c r="H8" s="418">
        <v>3</v>
      </c>
      <c r="I8" s="418">
        <v>74500</v>
      </c>
      <c r="J8" s="418">
        <v>9</v>
      </c>
      <c r="K8" s="418">
        <v>223500</v>
      </c>
      <c r="L8" s="418">
        <v>9</v>
      </c>
      <c r="M8" s="418">
        <v>9</v>
      </c>
      <c r="N8" s="418">
        <v>223500</v>
      </c>
      <c r="O8" s="418">
        <v>3</v>
      </c>
      <c r="P8" s="418">
        <v>75000</v>
      </c>
      <c r="Q8" s="418">
        <f>K8-N8</f>
        <v>0</v>
      </c>
      <c r="R8" s="418">
        <v>5</v>
      </c>
      <c r="S8" s="418">
        <v>124000</v>
      </c>
      <c r="T8" s="418">
        <v>2</v>
      </c>
      <c r="U8" s="418">
        <v>48258.369999999995</v>
      </c>
      <c r="V8" s="12"/>
      <c r="W8" s="12"/>
    </row>
    <row r="9" spans="1:23" ht="45" x14ac:dyDescent="0.2">
      <c r="A9" s="316" t="s">
        <v>538</v>
      </c>
      <c r="B9" s="414" t="s">
        <v>293</v>
      </c>
      <c r="C9" s="427">
        <v>41741</v>
      </c>
      <c r="D9" s="317">
        <v>250000</v>
      </c>
      <c r="E9" s="469">
        <v>44043</v>
      </c>
      <c r="F9" s="418">
        <v>8</v>
      </c>
      <c r="G9" s="418">
        <v>184795</v>
      </c>
      <c r="H9" s="418">
        <v>0</v>
      </c>
      <c r="I9" s="418">
        <v>0</v>
      </c>
      <c r="J9" s="418">
        <v>6</v>
      </c>
      <c r="K9" s="418">
        <v>142310</v>
      </c>
      <c r="L9" s="418">
        <v>6</v>
      </c>
      <c r="M9" s="418">
        <v>6</v>
      </c>
      <c r="N9" s="418">
        <v>142310</v>
      </c>
      <c r="O9" s="418">
        <v>2</v>
      </c>
      <c r="P9" s="418">
        <v>37375</v>
      </c>
      <c r="Q9" s="418">
        <f t="shared" si="0"/>
        <v>0</v>
      </c>
      <c r="R9" s="418">
        <v>3</v>
      </c>
      <c r="S9" s="418">
        <v>57136.479999999996</v>
      </c>
      <c r="T9" s="418">
        <v>1</v>
      </c>
      <c r="U9" s="418">
        <v>22000</v>
      </c>
      <c r="V9" s="12"/>
      <c r="W9" s="12"/>
    </row>
    <row r="10" spans="1:23" ht="56.25" x14ac:dyDescent="0.2">
      <c r="A10" s="316" t="s">
        <v>539</v>
      </c>
      <c r="B10" s="414" t="s">
        <v>336</v>
      </c>
      <c r="C10" s="427">
        <v>41743</v>
      </c>
      <c r="D10" s="317">
        <v>300000</v>
      </c>
      <c r="E10" s="469">
        <v>44043</v>
      </c>
      <c r="F10" s="418">
        <v>1</v>
      </c>
      <c r="G10" s="418">
        <v>27500</v>
      </c>
      <c r="H10" s="418">
        <v>0</v>
      </c>
      <c r="I10" s="418">
        <v>0</v>
      </c>
      <c r="J10" s="418">
        <v>0</v>
      </c>
      <c r="K10" s="418">
        <v>0</v>
      </c>
      <c r="L10" s="418">
        <v>0</v>
      </c>
      <c r="M10" s="418">
        <v>0</v>
      </c>
      <c r="N10" s="418">
        <v>0</v>
      </c>
      <c r="O10" s="418">
        <v>1</v>
      </c>
      <c r="P10" s="418">
        <v>27500</v>
      </c>
      <c r="Q10" s="418">
        <f t="shared" si="0"/>
        <v>0</v>
      </c>
      <c r="R10" s="418">
        <v>0</v>
      </c>
      <c r="S10" s="418">
        <v>0</v>
      </c>
      <c r="T10" s="418">
        <v>0</v>
      </c>
      <c r="U10" s="418">
        <v>0</v>
      </c>
      <c r="V10" s="12"/>
      <c r="W10" s="12"/>
    </row>
    <row r="11" spans="1:23" ht="22.5" x14ac:dyDescent="0.2">
      <c r="A11" s="316" t="s">
        <v>242</v>
      </c>
      <c r="B11" s="414" t="s">
        <v>294</v>
      </c>
      <c r="C11" s="427">
        <v>45502</v>
      </c>
      <c r="D11" s="317">
        <v>300000</v>
      </c>
      <c r="E11" s="469">
        <v>44104</v>
      </c>
      <c r="F11" s="418">
        <v>7</v>
      </c>
      <c r="G11" s="418">
        <v>174000</v>
      </c>
      <c r="H11" s="418">
        <v>0</v>
      </c>
      <c r="I11" s="418">
        <v>0</v>
      </c>
      <c r="J11" s="418">
        <v>7</v>
      </c>
      <c r="K11" s="418">
        <v>174000</v>
      </c>
      <c r="L11" s="418">
        <v>7</v>
      </c>
      <c r="M11" s="418">
        <v>7</v>
      </c>
      <c r="N11" s="418">
        <v>174000</v>
      </c>
      <c r="O11" s="418">
        <v>0</v>
      </c>
      <c r="P11" s="418">
        <v>0</v>
      </c>
      <c r="Q11" s="418">
        <f t="shared" si="0"/>
        <v>0</v>
      </c>
      <c r="R11" s="418">
        <v>12</v>
      </c>
      <c r="S11" s="418">
        <v>149000</v>
      </c>
      <c r="T11" s="342">
        <v>12</v>
      </c>
      <c r="U11" s="342">
        <v>149000</v>
      </c>
      <c r="V11" s="12"/>
      <c r="W11" s="12"/>
    </row>
    <row r="12" spans="1:23" ht="22.5" x14ac:dyDescent="0.2">
      <c r="A12" s="316" t="s">
        <v>242</v>
      </c>
      <c r="B12" s="414" t="s">
        <v>295</v>
      </c>
      <c r="C12" s="427">
        <v>45621</v>
      </c>
      <c r="D12" s="317">
        <v>250000</v>
      </c>
      <c r="E12" s="469">
        <v>44104</v>
      </c>
      <c r="F12" s="418">
        <v>1</v>
      </c>
      <c r="G12" s="418">
        <v>25000</v>
      </c>
      <c r="H12" s="418">
        <v>0</v>
      </c>
      <c r="I12" s="418">
        <v>0</v>
      </c>
      <c r="J12" s="418">
        <v>1</v>
      </c>
      <c r="K12" s="418">
        <v>25000</v>
      </c>
      <c r="L12" s="418">
        <v>1</v>
      </c>
      <c r="M12" s="418">
        <v>1</v>
      </c>
      <c r="N12" s="418">
        <v>25000</v>
      </c>
      <c r="O12" s="418">
        <v>0</v>
      </c>
      <c r="P12" s="418">
        <v>0</v>
      </c>
      <c r="Q12" s="418">
        <f t="shared" si="0"/>
        <v>0</v>
      </c>
      <c r="R12" s="418">
        <v>2</v>
      </c>
      <c r="S12" s="418">
        <v>25000</v>
      </c>
      <c r="T12" s="418">
        <v>2</v>
      </c>
      <c r="U12" s="418">
        <v>25000</v>
      </c>
      <c r="V12" s="12"/>
      <c r="W12" s="12"/>
    </row>
    <row r="13" spans="1:23" ht="112.5" x14ac:dyDescent="0.2">
      <c r="A13" s="316" t="s">
        <v>238</v>
      </c>
      <c r="B13" s="414" t="s">
        <v>473</v>
      </c>
      <c r="C13" s="427">
        <v>63902</v>
      </c>
      <c r="D13" s="317">
        <v>800000</v>
      </c>
      <c r="E13" s="469">
        <v>45000</v>
      </c>
      <c r="F13" s="418">
        <v>4</v>
      </c>
      <c r="G13" s="418">
        <v>800000</v>
      </c>
      <c r="H13" s="418">
        <v>0</v>
      </c>
      <c r="I13" s="418">
        <v>0</v>
      </c>
      <c r="J13" s="418">
        <v>4</v>
      </c>
      <c r="K13" s="418">
        <v>800000</v>
      </c>
      <c r="L13" s="418">
        <v>4</v>
      </c>
      <c r="M13" s="418">
        <v>4</v>
      </c>
      <c r="N13" s="418">
        <v>800000</v>
      </c>
      <c r="O13" s="418">
        <v>0</v>
      </c>
      <c r="P13" s="418">
        <v>0</v>
      </c>
      <c r="Q13" s="418">
        <f t="shared" si="0"/>
        <v>0</v>
      </c>
      <c r="R13" s="418">
        <v>0</v>
      </c>
      <c r="S13" s="418">
        <v>0</v>
      </c>
      <c r="T13" s="418">
        <v>0</v>
      </c>
      <c r="U13" s="418">
        <v>0</v>
      </c>
      <c r="V13" s="12"/>
      <c r="W13" s="12"/>
    </row>
    <row r="14" spans="1:23" ht="56.25" x14ac:dyDescent="0.2">
      <c r="A14" s="316" t="s">
        <v>273</v>
      </c>
      <c r="B14" s="414" t="s">
        <v>474</v>
      </c>
      <c r="C14" s="427">
        <v>63861</v>
      </c>
      <c r="D14" s="317">
        <v>150000</v>
      </c>
      <c r="E14" s="469">
        <v>45000</v>
      </c>
      <c r="F14" s="418">
        <v>2</v>
      </c>
      <c r="G14" s="418">
        <v>150000</v>
      </c>
      <c r="H14" s="418">
        <v>0</v>
      </c>
      <c r="I14" s="418">
        <v>0</v>
      </c>
      <c r="J14" s="418">
        <v>2</v>
      </c>
      <c r="K14" s="418">
        <v>150000</v>
      </c>
      <c r="L14" s="418">
        <v>2</v>
      </c>
      <c r="M14" s="418">
        <v>2</v>
      </c>
      <c r="N14" s="418">
        <v>150000</v>
      </c>
      <c r="O14" s="418">
        <v>0</v>
      </c>
      <c r="P14" s="418">
        <v>0</v>
      </c>
      <c r="Q14" s="418">
        <f t="shared" si="0"/>
        <v>0</v>
      </c>
      <c r="R14" s="418">
        <v>0</v>
      </c>
      <c r="S14" s="418">
        <v>0</v>
      </c>
      <c r="T14" s="418">
        <v>0</v>
      </c>
      <c r="U14" s="418">
        <v>0</v>
      </c>
      <c r="V14" s="12"/>
      <c r="W14" s="12"/>
    </row>
    <row r="15" spans="1:23" ht="67.5" x14ac:dyDescent="0.2">
      <c r="A15" s="316" t="s">
        <v>245</v>
      </c>
      <c r="B15" s="414" t="s">
        <v>475</v>
      </c>
      <c r="C15" s="427">
        <v>63882</v>
      </c>
      <c r="D15" s="317">
        <v>600000</v>
      </c>
      <c r="E15" s="469">
        <v>45000</v>
      </c>
      <c r="F15" s="418">
        <v>3</v>
      </c>
      <c r="G15" s="418">
        <v>600000</v>
      </c>
      <c r="H15" s="418">
        <v>0</v>
      </c>
      <c r="I15" s="418">
        <v>0</v>
      </c>
      <c r="J15" s="418">
        <v>3</v>
      </c>
      <c r="K15" s="418">
        <v>600000</v>
      </c>
      <c r="L15" s="418">
        <v>3</v>
      </c>
      <c r="M15" s="418">
        <v>3</v>
      </c>
      <c r="N15" s="418">
        <v>600000</v>
      </c>
      <c r="O15" s="418">
        <v>0</v>
      </c>
      <c r="P15" s="418">
        <v>0</v>
      </c>
      <c r="Q15" s="418">
        <f t="shared" si="0"/>
        <v>0</v>
      </c>
      <c r="R15" s="418">
        <v>0</v>
      </c>
      <c r="S15" s="418">
        <v>0</v>
      </c>
      <c r="T15" s="418">
        <v>0</v>
      </c>
      <c r="U15" s="418">
        <v>0</v>
      </c>
      <c r="V15" s="12"/>
      <c r="W15" s="12"/>
    </row>
    <row r="16" spans="1:23" ht="78.75" x14ac:dyDescent="0.2">
      <c r="A16" s="316" t="s">
        <v>245</v>
      </c>
      <c r="B16" s="414" t="s">
        <v>476</v>
      </c>
      <c r="C16" s="427">
        <v>63901</v>
      </c>
      <c r="D16" s="317">
        <v>800000</v>
      </c>
      <c r="E16" s="469">
        <v>45000</v>
      </c>
      <c r="F16" s="418">
        <v>4</v>
      </c>
      <c r="G16" s="418">
        <v>800000</v>
      </c>
      <c r="H16" s="418">
        <v>0</v>
      </c>
      <c r="I16" s="418">
        <v>0</v>
      </c>
      <c r="J16" s="418">
        <v>4</v>
      </c>
      <c r="K16" s="418">
        <v>800000</v>
      </c>
      <c r="L16" s="418">
        <v>4</v>
      </c>
      <c r="M16" s="418">
        <v>4</v>
      </c>
      <c r="N16" s="418">
        <v>800000</v>
      </c>
      <c r="O16" s="418">
        <v>0</v>
      </c>
      <c r="P16" s="418">
        <v>0</v>
      </c>
      <c r="Q16" s="418">
        <f t="shared" si="0"/>
        <v>0</v>
      </c>
      <c r="R16" s="418">
        <v>0</v>
      </c>
      <c r="S16" s="418">
        <v>0</v>
      </c>
      <c r="T16" s="418">
        <v>0</v>
      </c>
      <c r="U16" s="418">
        <v>0</v>
      </c>
      <c r="V16" s="12"/>
      <c r="W16" s="12"/>
    </row>
    <row r="17" spans="1:29" ht="33.75" x14ac:dyDescent="0.2">
      <c r="A17" s="137" t="s">
        <v>242</v>
      </c>
      <c r="B17" s="414" t="s">
        <v>563</v>
      </c>
      <c r="C17" s="427">
        <v>74245</v>
      </c>
      <c r="D17" s="317">
        <v>326000</v>
      </c>
      <c r="E17" s="415">
        <v>45327</v>
      </c>
      <c r="F17" s="418">
        <v>11</v>
      </c>
      <c r="G17" s="418">
        <v>275000</v>
      </c>
      <c r="H17" s="418">
        <v>0</v>
      </c>
      <c r="I17" s="418">
        <v>0</v>
      </c>
      <c r="J17" s="418">
        <v>10</v>
      </c>
      <c r="K17" s="418">
        <v>250000</v>
      </c>
      <c r="L17" s="418">
        <v>10</v>
      </c>
      <c r="M17" s="418">
        <v>10</v>
      </c>
      <c r="N17" s="418">
        <v>250000</v>
      </c>
      <c r="O17" s="418">
        <v>1</v>
      </c>
      <c r="P17" s="418">
        <v>25000</v>
      </c>
      <c r="Q17" s="418">
        <f t="shared" si="0"/>
        <v>0</v>
      </c>
      <c r="R17" s="418">
        <v>10</v>
      </c>
      <c r="S17" s="418">
        <v>152500</v>
      </c>
      <c r="T17" s="418">
        <v>5</v>
      </c>
      <c r="U17" s="418">
        <v>87500</v>
      </c>
      <c r="V17" s="12"/>
      <c r="W17" s="12"/>
    </row>
    <row r="18" spans="1:29" ht="33.75" x14ac:dyDescent="0.2">
      <c r="A18" s="333" t="s">
        <v>538</v>
      </c>
      <c r="B18" s="457" t="s">
        <v>591</v>
      </c>
      <c r="C18" s="432">
        <v>74381</v>
      </c>
      <c r="D18" s="317">
        <v>78000</v>
      </c>
      <c r="E18" s="415">
        <v>45199.542349537034</v>
      </c>
      <c r="F18" s="418">
        <v>3</v>
      </c>
      <c r="G18" s="418">
        <v>75000</v>
      </c>
      <c r="H18" s="418">
        <v>0</v>
      </c>
      <c r="I18" s="418">
        <v>0</v>
      </c>
      <c r="J18" s="418">
        <v>1</v>
      </c>
      <c r="K18" s="418">
        <v>25000</v>
      </c>
      <c r="L18" s="418">
        <v>1</v>
      </c>
      <c r="M18" s="418">
        <v>1</v>
      </c>
      <c r="N18" s="418">
        <v>25000</v>
      </c>
      <c r="O18" s="418">
        <v>2</v>
      </c>
      <c r="P18" s="418">
        <v>50000</v>
      </c>
      <c r="Q18" s="418">
        <f t="shared" si="0"/>
        <v>0</v>
      </c>
      <c r="R18" s="418">
        <v>1</v>
      </c>
      <c r="S18" s="418">
        <v>12500</v>
      </c>
      <c r="T18" s="418">
        <v>1</v>
      </c>
      <c r="U18" s="418">
        <v>12500</v>
      </c>
      <c r="V18" s="12"/>
      <c r="W18" s="12"/>
    </row>
    <row r="19" spans="1:29" ht="33.75" x14ac:dyDescent="0.2">
      <c r="A19" s="333" t="s">
        <v>538</v>
      </c>
      <c r="B19" s="457" t="s">
        <v>590</v>
      </c>
      <c r="C19" s="432">
        <v>74321</v>
      </c>
      <c r="D19" s="317">
        <v>270574.62</v>
      </c>
      <c r="E19" s="415">
        <v>45199.542349537034</v>
      </c>
      <c r="F19" s="418">
        <v>10</v>
      </c>
      <c r="G19" s="418">
        <v>210211.72</v>
      </c>
      <c r="H19" s="418">
        <v>0</v>
      </c>
      <c r="I19" s="418">
        <v>0</v>
      </c>
      <c r="J19" s="418">
        <v>7</v>
      </c>
      <c r="K19" s="418">
        <v>129235.19</v>
      </c>
      <c r="L19" s="418">
        <v>7</v>
      </c>
      <c r="M19" s="418">
        <v>7</v>
      </c>
      <c r="N19" s="418">
        <v>129235.19</v>
      </c>
      <c r="O19" s="418">
        <v>3</v>
      </c>
      <c r="P19" s="418">
        <v>72000</v>
      </c>
      <c r="Q19" s="418">
        <f t="shared" si="0"/>
        <v>0</v>
      </c>
      <c r="R19" s="418">
        <v>4</v>
      </c>
      <c r="S19" s="418">
        <v>40837.17</v>
      </c>
      <c r="T19" s="418">
        <v>3</v>
      </c>
      <c r="U19" s="418">
        <v>37225.5</v>
      </c>
      <c r="V19" s="12"/>
      <c r="W19" s="12"/>
    </row>
    <row r="20" spans="1:29" ht="45" x14ac:dyDescent="0.2">
      <c r="A20" s="316" t="s">
        <v>538</v>
      </c>
      <c r="B20" s="414" t="s">
        <v>589</v>
      </c>
      <c r="C20" s="427">
        <v>74345</v>
      </c>
      <c r="D20" s="317">
        <v>326500</v>
      </c>
      <c r="E20" s="415">
        <v>45199.542349537034</v>
      </c>
      <c r="F20" s="418">
        <v>5</v>
      </c>
      <c r="G20" s="418">
        <v>120350</v>
      </c>
      <c r="H20" s="418">
        <v>0</v>
      </c>
      <c r="I20" s="418">
        <v>0</v>
      </c>
      <c r="J20" s="418">
        <v>3</v>
      </c>
      <c r="K20" s="418">
        <v>70350</v>
      </c>
      <c r="L20" s="418">
        <v>3</v>
      </c>
      <c r="M20" s="418">
        <v>3</v>
      </c>
      <c r="N20" s="418">
        <v>70350</v>
      </c>
      <c r="O20" s="418">
        <v>2</v>
      </c>
      <c r="P20" s="418">
        <v>50000</v>
      </c>
      <c r="Q20" s="418">
        <f>K20-N20</f>
        <v>0</v>
      </c>
      <c r="R20" s="418">
        <v>2</v>
      </c>
      <c r="S20" s="418">
        <v>22675</v>
      </c>
      <c r="T20" s="418">
        <v>2</v>
      </c>
      <c r="U20" s="418">
        <v>22675</v>
      </c>
      <c r="V20" s="12"/>
      <c r="W20" s="12"/>
    </row>
    <row r="21" spans="1:29" ht="45" x14ac:dyDescent="0.2">
      <c r="A21" s="316" t="s">
        <v>538</v>
      </c>
      <c r="B21" s="414" t="s">
        <v>588</v>
      </c>
      <c r="C21" s="427">
        <v>74461</v>
      </c>
      <c r="D21" s="317">
        <v>255580</v>
      </c>
      <c r="E21" s="415">
        <v>45199.542349537034</v>
      </c>
      <c r="F21" s="418">
        <v>6</v>
      </c>
      <c r="G21" s="418">
        <v>136000</v>
      </c>
      <c r="H21" s="418">
        <v>0</v>
      </c>
      <c r="I21" s="418">
        <v>0</v>
      </c>
      <c r="J21" s="418">
        <v>2</v>
      </c>
      <c r="K21" s="418">
        <v>50000</v>
      </c>
      <c r="L21" s="418">
        <v>2</v>
      </c>
      <c r="M21" s="418">
        <v>2</v>
      </c>
      <c r="N21" s="418">
        <v>50000</v>
      </c>
      <c r="O21" s="418">
        <v>4</v>
      </c>
      <c r="P21" s="418">
        <v>86000</v>
      </c>
      <c r="Q21" s="418">
        <f>K21-N21</f>
        <v>0</v>
      </c>
      <c r="R21" s="418">
        <v>1</v>
      </c>
      <c r="S21" s="418">
        <v>25000</v>
      </c>
      <c r="T21" s="418">
        <v>0</v>
      </c>
      <c r="U21" s="418">
        <v>0</v>
      </c>
      <c r="V21" s="12"/>
      <c r="W21" s="12"/>
    </row>
    <row r="22" spans="1:29" ht="22.5" x14ac:dyDescent="0.2">
      <c r="A22" s="137" t="s">
        <v>242</v>
      </c>
      <c r="B22" s="414" t="s">
        <v>295</v>
      </c>
      <c r="C22" s="427">
        <v>74561</v>
      </c>
      <c r="D22" s="317">
        <v>275000</v>
      </c>
      <c r="E22" s="415">
        <v>45327</v>
      </c>
      <c r="F22" s="418">
        <v>1</v>
      </c>
      <c r="G22" s="418">
        <v>25000</v>
      </c>
      <c r="H22" s="418">
        <v>0</v>
      </c>
      <c r="I22" s="418">
        <v>0</v>
      </c>
      <c r="J22" s="418">
        <v>0</v>
      </c>
      <c r="K22" s="418">
        <v>0</v>
      </c>
      <c r="L22" s="418">
        <v>0</v>
      </c>
      <c r="M22" s="418">
        <v>0</v>
      </c>
      <c r="N22" s="418">
        <v>0</v>
      </c>
      <c r="O22" s="418">
        <v>1</v>
      </c>
      <c r="P22" s="418">
        <v>25000</v>
      </c>
      <c r="Q22" s="418">
        <f t="shared" ref="Q22:Q23" si="1">K22-N22</f>
        <v>0</v>
      </c>
      <c r="R22" s="418">
        <v>0</v>
      </c>
      <c r="S22" s="418">
        <v>0</v>
      </c>
      <c r="T22" s="418">
        <v>0</v>
      </c>
      <c r="U22" s="418">
        <v>0</v>
      </c>
      <c r="V22" s="12"/>
      <c r="W22" s="12"/>
    </row>
    <row r="23" spans="1:29" s="92" customFormat="1" ht="56.25" x14ac:dyDescent="0.2">
      <c r="A23" s="363" t="s">
        <v>273</v>
      </c>
      <c r="B23" s="358" t="s">
        <v>712</v>
      </c>
      <c r="C23" s="356">
        <v>87922</v>
      </c>
      <c r="D23" s="18">
        <v>1539495.43</v>
      </c>
      <c r="E23" s="343">
        <v>45871</v>
      </c>
      <c r="F23" s="342">
        <v>13</v>
      </c>
      <c r="G23" s="342">
        <v>1854135.79</v>
      </c>
      <c r="H23" s="342">
        <v>0</v>
      </c>
      <c r="I23" s="342">
        <v>0</v>
      </c>
      <c r="J23" s="342">
        <v>13</v>
      </c>
      <c r="K23" s="342">
        <v>1851977.2</v>
      </c>
      <c r="L23" s="342">
        <v>13</v>
      </c>
      <c r="M23" s="342">
        <v>0</v>
      </c>
      <c r="N23" s="342">
        <v>0</v>
      </c>
      <c r="O23" s="342">
        <v>0</v>
      </c>
      <c r="P23" s="342">
        <v>0</v>
      </c>
      <c r="Q23" s="342">
        <f t="shared" si="1"/>
        <v>1851977.2</v>
      </c>
      <c r="R23" s="342">
        <v>0</v>
      </c>
      <c r="S23" s="342">
        <v>0</v>
      </c>
      <c r="T23" s="342">
        <v>0</v>
      </c>
      <c r="U23" s="342">
        <v>0</v>
      </c>
    </row>
    <row r="24" spans="1:29" x14ac:dyDescent="0.2">
      <c r="A24" s="19" t="s">
        <v>1</v>
      </c>
      <c r="B24" s="19"/>
      <c r="C24" s="59"/>
      <c r="D24" s="20">
        <f>SUM(D6:D23)</f>
        <v>7471150.0499999998</v>
      </c>
      <c r="E24" s="20"/>
      <c r="F24" s="20">
        <f t="shared" ref="F24:U24" si="2">SUM(F6:F23)</f>
        <v>110</v>
      </c>
      <c r="G24" s="20">
        <f t="shared" si="2"/>
        <v>6226184.9400000004</v>
      </c>
      <c r="H24" s="20">
        <f t="shared" si="2"/>
        <v>3</v>
      </c>
      <c r="I24" s="20">
        <f t="shared" si="2"/>
        <v>74500</v>
      </c>
      <c r="J24" s="20">
        <f t="shared" si="2"/>
        <v>85</v>
      </c>
      <c r="K24" s="20">
        <f t="shared" si="2"/>
        <v>5607441.2800000003</v>
      </c>
      <c r="L24" s="20">
        <f t="shared" si="2"/>
        <v>85</v>
      </c>
      <c r="M24" s="20">
        <f t="shared" si="2"/>
        <v>72</v>
      </c>
      <c r="N24" s="20">
        <f t="shared" si="2"/>
        <v>3755464.08</v>
      </c>
      <c r="O24" s="20">
        <f t="shared" si="2"/>
        <v>22</v>
      </c>
      <c r="P24" s="20">
        <f t="shared" si="2"/>
        <v>515667.43</v>
      </c>
      <c r="Q24" s="20">
        <f t="shared" si="2"/>
        <v>1851977.2</v>
      </c>
      <c r="R24" s="20">
        <f t="shared" si="2"/>
        <v>48</v>
      </c>
      <c r="S24" s="20">
        <f t="shared" si="2"/>
        <v>776054.53</v>
      </c>
      <c r="T24" s="20">
        <f t="shared" si="2"/>
        <v>33</v>
      </c>
      <c r="U24" s="20">
        <f t="shared" si="2"/>
        <v>513182.44999999995</v>
      </c>
      <c r="V24" s="12"/>
      <c r="X24" s="92"/>
      <c r="Y24" s="92"/>
      <c r="Z24" s="92"/>
      <c r="AA24" s="92"/>
      <c r="AB24" s="92"/>
      <c r="AC24" s="92"/>
    </row>
    <row r="25" spans="1:29" customFormat="1" ht="15" customHeight="1" x14ac:dyDescent="0.25">
      <c r="A25" s="210" t="s">
        <v>390</v>
      </c>
      <c r="B25" s="134"/>
      <c r="C25" s="134"/>
      <c r="D25" s="134"/>
      <c r="E25" s="134"/>
      <c r="F25" s="134"/>
      <c r="G25" s="134"/>
      <c r="H25" s="134"/>
      <c r="I25" s="134"/>
      <c r="J25" s="134"/>
      <c r="K25" s="134"/>
      <c r="L25" s="134"/>
      <c r="M25" s="134"/>
      <c r="N25" s="134"/>
      <c r="O25" s="134"/>
      <c r="P25" s="134"/>
      <c r="Q25" s="134"/>
      <c r="R25" s="134"/>
    </row>
    <row r="26" spans="1:29" s="23" customFormat="1" ht="23.45" customHeight="1" x14ac:dyDescent="0.25">
      <c r="A26" s="1124" t="s">
        <v>744</v>
      </c>
      <c r="B26" s="1124"/>
      <c r="C26" s="1124"/>
      <c r="D26" s="1124"/>
      <c r="E26" s="1124"/>
      <c r="F26" s="1124"/>
      <c r="G26" s="1124"/>
      <c r="H26" s="1124"/>
      <c r="I26" s="1124"/>
      <c r="J26" s="1124"/>
      <c r="K26" s="1124"/>
      <c r="L26" s="1124"/>
      <c r="M26" s="1124"/>
      <c r="N26" s="1124"/>
      <c r="O26" s="1124"/>
      <c r="P26" s="1124"/>
      <c r="Q26" s="1124"/>
      <c r="R26" s="1124"/>
      <c r="S26" s="1124"/>
      <c r="T26" s="1124"/>
      <c r="U26" s="1124"/>
      <c r="V26" s="87"/>
      <c r="X26" s="87"/>
    </row>
    <row r="27" spans="1:29" x14ac:dyDescent="0.2">
      <c r="A27" s="1125" t="s">
        <v>646</v>
      </c>
      <c r="B27" s="1125"/>
      <c r="C27" s="1126"/>
      <c r="D27" s="1125"/>
      <c r="E27" s="1125"/>
      <c r="F27" s="1125"/>
      <c r="G27" s="1125"/>
      <c r="H27" s="1126"/>
      <c r="I27" s="1126"/>
      <c r="J27" s="1125"/>
      <c r="K27" s="1125"/>
      <c r="L27" s="1125"/>
      <c r="M27" s="1125"/>
      <c r="N27" s="1125"/>
      <c r="O27" s="1125"/>
      <c r="P27" s="1125"/>
      <c r="Q27" s="1125"/>
      <c r="R27" s="1125"/>
      <c r="S27" s="1125"/>
      <c r="T27" s="1125"/>
      <c r="U27" s="1125"/>
    </row>
    <row r="28" spans="1:29" ht="20.25" customHeight="1" x14ac:dyDescent="0.2">
      <c r="A28" s="943" t="s">
        <v>248</v>
      </c>
      <c r="B28" s="943" t="s">
        <v>156</v>
      </c>
      <c r="C28" s="943" t="s">
        <v>282</v>
      </c>
      <c r="D28" s="943" t="s">
        <v>157</v>
      </c>
      <c r="E28" s="943" t="s">
        <v>158</v>
      </c>
      <c r="F28" s="968" t="s">
        <v>337</v>
      </c>
      <c r="G28" s="969"/>
      <c r="H28" s="968" t="s">
        <v>277</v>
      </c>
      <c r="I28" s="969"/>
      <c r="J28" s="968" t="s">
        <v>159</v>
      </c>
      <c r="K28" s="969"/>
      <c r="L28" s="947" t="s">
        <v>749</v>
      </c>
      <c r="M28" s="948"/>
      <c r="N28" s="948"/>
      <c r="O28" s="948"/>
      <c r="P28" s="949"/>
      <c r="Q28" s="943" t="s">
        <v>250</v>
      </c>
      <c r="R28" s="937" t="s">
        <v>750</v>
      </c>
      <c r="S28" s="938"/>
      <c r="T28" s="937" t="s">
        <v>751</v>
      </c>
      <c r="U28" s="938"/>
    </row>
    <row r="29" spans="1:29" ht="10.15" customHeight="1" x14ac:dyDescent="0.2">
      <c r="A29" s="944"/>
      <c r="B29" s="944"/>
      <c r="C29" s="944"/>
      <c r="D29" s="944"/>
      <c r="E29" s="944"/>
      <c r="F29" s="939"/>
      <c r="G29" s="940"/>
      <c r="H29" s="939"/>
      <c r="I29" s="940"/>
      <c r="J29" s="939"/>
      <c r="K29" s="940"/>
      <c r="L29" s="975" t="s">
        <v>160</v>
      </c>
      <c r="M29" s="948"/>
      <c r="N29" s="949"/>
      <c r="O29" s="968" t="s">
        <v>626</v>
      </c>
      <c r="P29" s="969"/>
      <c r="Q29" s="944"/>
      <c r="R29" s="939"/>
      <c r="S29" s="940"/>
      <c r="T29" s="939"/>
      <c r="U29" s="940"/>
    </row>
    <row r="30" spans="1:29" ht="21" customHeight="1" x14ac:dyDescent="0.2">
      <c r="A30" s="944"/>
      <c r="B30" s="944"/>
      <c r="C30" s="944"/>
      <c r="D30" s="944"/>
      <c r="E30" s="944"/>
      <c r="F30" s="941"/>
      <c r="G30" s="942"/>
      <c r="H30" s="941"/>
      <c r="I30" s="942"/>
      <c r="J30" s="941"/>
      <c r="K30" s="942"/>
      <c r="L30" s="950" t="s">
        <v>161</v>
      </c>
      <c r="M30" s="975" t="s">
        <v>247</v>
      </c>
      <c r="N30" s="949"/>
      <c r="O30" s="941"/>
      <c r="P30" s="942"/>
      <c r="Q30" s="946"/>
      <c r="R30" s="941"/>
      <c r="S30" s="942"/>
      <c r="T30" s="941"/>
      <c r="U30" s="942"/>
    </row>
    <row r="31" spans="1:29" ht="21" x14ac:dyDescent="0.2">
      <c r="A31" s="946"/>
      <c r="B31" s="946"/>
      <c r="C31" s="946"/>
      <c r="D31" s="946"/>
      <c r="E31" s="946"/>
      <c r="F31" s="122" t="s">
        <v>161</v>
      </c>
      <c r="G31" s="123" t="s">
        <v>162</v>
      </c>
      <c r="H31" s="15" t="s">
        <v>161</v>
      </c>
      <c r="I31" s="16" t="s">
        <v>162</v>
      </c>
      <c r="J31" s="122" t="s">
        <v>161</v>
      </c>
      <c r="K31" s="123" t="s">
        <v>162</v>
      </c>
      <c r="L31" s="1119"/>
      <c r="M31" s="154" t="s">
        <v>161</v>
      </c>
      <c r="N31" s="125" t="s">
        <v>162</v>
      </c>
      <c r="O31" s="154" t="s">
        <v>161</v>
      </c>
      <c r="P31" s="125" t="s">
        <v>162</v>
      </c>
      <c r="Q31" s="16" t="s">
        <v>162</v>
      </c>
      <c r="R31" s="15" t="s">
        <v>161</v>
      </c>
      <c r="S31" s="16" t="s">
        <v>162</v>
      </c>
      <c r="T31" s="77" t="s">
        <v>161</v>
      </c>
      <c r="U31" s="78" t="s">
        <v>162</v>
      </c>
    </row>
    <row r="32" spans="1:29" s="473" customFormat="1" ht="22.5" x14ac:dyDescent="0.25">
      <c r="A32" s="316" t="s">
        <v>63</v>
      </c>
      <c r="B32" s="414" t="s">
        <v>443</v>
      </c>
      <c r="C32" s="427">
        <v>26821</v>
      </c>
      <c r="D32" s="317">
        <v>144359.57</v>
      </c>
      <c r="E32" s="469">
        <v>43714</v>
      </c>
      <c r="F32" s="418">
        <v>2</v>
      </c>
      <c r="G32" s="418">
        <v>150000</v>
      </c>
      <c r="H32" s="418">
        <v>0</v>
      </c>
      <c r="I32" s="418">
        <v>0</v>
      </c>
      <c r="J32" s="418">
        <v>2</v>
      </c>
      <c r="K32" s="418">
        <v>144359.57</v>
      </c>
      <c r="L32" s="418">
        <v>2</v>
      </c>
      <c r="M32" s="418">
        <v>2</v>
      </c>
      <c r="N32" s="418">
        <v>144359.57</v>
      </c>
      <c r="O32" s="418">
        <v>0</v>
      </c>
      <c r="P32" s="418">
        <v>0</v>
      </c>
      <c r="Q32" s="418">
        <f t="shared" ref="Q32:Q41" si="3">K32-N32</f>
        <v>0</v>
      </c>
      <c r="R32" s="418">
        <v>4</v>
      </c>
      <c r="S32" s="418">
        <v>134415.76</v>
      </c>
      <c r="T32" s="418">
        <v>3</v>
      </c>
      <c r="U32" s="418">
        <v>96189.920000000013</v>
      </c>
    </row>
    <row r="33" spans="1:24" s="473" customFormat="1" ht="12" customHeight="1" x14ac:dyDescent="0.25">
      <c r="A33" s="316" t="s">
        <v>63</v>
      </c>
      <c r="B33" s="414" t="s">
        <v>444</v>
      </c>
      <c r="C33" s="427">
        <v>32964</v>
      </c>
      <c r="D33" s="317">
        <v>0</v>
      </c>
      <c r="E33" s="469">
        <v>44196</v>
      </c>
      <c r="F33" s="418">
        <v>2</v>
      </c>
      <c r="G33" s="418">
        <v>299943.25</v>
      </c>
      <c r="H33" s="418">
        <v>0</v>
      </c>
      <c r="I33" s="418">
        <v>0</v>
      </c>
      <c r="J33" s="418">
        <v>0</v>
      </c>
      <c r="K33" s="418">
        <v>0</v>
      </c>
      <c r="L33" s="418">
        <v>0</v>
      </c>
      <c r="M33" s="418">
        <v>0</v>
      </c>
      <c r="N33" s="418">
        <v>0</v>
      </c>
      <c r="O33" s="418">
        <v>2</v>
      </c>
      <c r="P33" s="418">
        <v>299943.25</v>
      </c>
      <c r="Q33" s="418">
        <f t="shared" si="3"/>
        <v>0</v>
      </c>
      <c r="R33" s="418">
        <v>0</v>
      </c>
      <c r="S33" s="418">
        <v>0</v>
      </c>
      <c r="T33" s="418">
        <v>0</v>
      </c>
      <c r="U33" s="418">
        <v>0</v>
      </c>
    </row>
    <row r="34" spans="1:24" s="473" customFormat="1" ht="22.5" x14ac:dyDescent="0.25">
      <c r="A34" s="137" t="s">
        <v>538</v>
      </c>
      <c r="B34" s="414" t="s">
        <v>445</v>
      </c>
      <c r="C34" s="476">
        <v>34786</v>
      </c>
      <c r="D34" s="317">
        <v>46162.5</v>
      </c>
      <c r="E34" s="477">
        <v>44242</v>
      </c>
      <c r="F34" s="418">
        <v>2</v>
      </c>
      <c r="G34" s="418">
        <v>52665.16</v>
      </c>
      <c r="H34" s="418">
        <v>0</v>
      </c>
      <c r="I34" s="418">
        <v>0</v>
      </c>
      <c r="J34" s="418">
        <v>1</v>
      </c>
      <c r="K34" s="418">
        <v>46162.5</v>
      </c>
      <c r="L34" s="418">
        <v>1</v>
      </c>
      <c r="M34" s="418">
        <v>1</v>
      </c>
      <c r="N34" s="418">
        <v>46162.5</v>
      </c>
      <c r="O34" s="418">
        <v>1</v>
      </c>
      <c r="P34" s="418">
        <v>4665.16</v>
      </c>
      <c r="Q34" s="418">
        <f t="shared" si="3"/>
        <v>0</v>
      </c>
      <c r="R34" s="418">
        <v>1</v>
      </c>
      <c r="S34" s="418">
        <v>46162.5</v>
      </c>
      <c r="T34" s="418">
        <v>1</v>
      </c>
      <c r="U34" s="418">
        <v>46162.5</v>
      </c>
    </row>
    <row r="35" spans="1:24" s="473" customFormat="1" ht="22.5" x14ac:dyDescent="0.25">
      <c r="A35" s="137" t="s">
        <v>539</v>
      </c>
      <c r="B35" s="414" t="s">
        <v>446</v>
      </c>
      <c r="C35" s="427">
        <v>36442</v>
      </c>
      <c r="D35" s="317">
        <v>279800.80000000005</v>
      </c>
      <c r="E35" s="469">
        <v>43875</v>
      </c>
      <c r="F35" s="418">
        <v>12</v>
      </c>
      <c r="G35" s="418">
        <v>473840.37</v>
      </c>
      <c r="H35" s="418">
        <v>0</v>
      </c>
      <c r="I35" s="418">
        <v>0</v>
      </c>
      <c r="J35" s="418">
        <v>8</v>
      </c>
      <c r="K35" s="418">
        <v>279800.80000000005</v>
      </c>
      <c r="L35" s="418">
        <v>8</v>
      </c>
      <c r="M35" s="418">
        <v>8</v>
      </c>
      <c r="N35" s="418">
        <v>279800.80000000005</v>
      </c>
      <c r="O35" s="418">
        <f>2+2</f>
        <v>4</v>
      </c>
      <c r="P35" s="418">
        <f>65901.37+99499.5</f>
        <v>165400.87</v>
      </c>
      <c r="Q35" s="418">
        <f t="shared" si="3"/>
        <v>0</v>
      </c>
      <c r="R35" s="418">
        <v>12</v>
      </c>
      <c r="S35" s="418">
        <v>260220.53999999998</v>
      </c>
      <c r="T35" s="418">
        <v>8</v>
      </c>
      <c r="U35" s="418">
        <v>184986.88999999998</v>
      </c>
    </row>
    <row r="36" spans="1:24" s="473" customFormat="1" ht="22.5" x14ac:dyDescent="0.25">
      <c r="A36" s="137" t="s">
        <v>539</v>
      </c>
      <c r="B36" s="414" t="s">
        <v>447</v>
      </c>
      <c r="C36" s="427">
        <v>36443</v>
      </c>
      <c r="D36" s="317">
        <v>299883.96000000002</v>
      </c>
      <c r="E36" s="469">
        <v>43875</v>
      </c>
      <c r="F36" s="418">
        <v>12</v>
      </c>
      <c r="G36" s="418">
        <v>482238.37</v>
      </c>
      <c r="H36" s="418">
        <v>1</v>
      </c>
      <c r="I36" s="418">
        <v>50000</v>
      </c>
      <c r="J36" s="418">
        <v>7</v>
      </c>
      <c r="K36" s="418">
        <v>299883.96000000002</v>
      </c>
      <c r="L36" s="418">
        <v>7</v>
      </c>
      <c r="M36" s="418">
        <v>7</v>
      </c>
      <c r="N36" s="418">
        <v>299883.96000000002</v>
      </c>
      <c r="O36" s="418">
        <v>4</v>
      </c>
      <c r="P36" s="418">
        <f>59000+71343.2</f>
        <v>130343.2</v>
      </c>
      <c r="Q36" s="418">
        <f t="shared" si="3"/>
        <v>0</v>
      </c>
      <c r="R36" s="418">
        <v>7</v>
      </c>
      <c r="S36" s="418">
        <v>272503.80000000005</v>
      </c>
      <c r="T36" s="418">
        <v>6</v>
      </c>
      <c r="U36" s="418">
        <v>220666</v>
      </c>
    </row>
    <row r="37" spans="1:24" s="473" customFormat="1" ht="12.6" customHeight="1" x14ac:dyDescent="0.25">
      <c r="A37" s="137" t="s">
        <v>539</v>
      </c>
      <c r="B37" s="414" t="s">
        <v>448</v>
      </c>
      <c r="C37" s="427">
        <v>39621</v>
      </c>
      <c r="D37" s="317">
        <v>0</v>
      </c>
      <c r="E37" s="477">
        <v>44242</v>
      </c>
      <c r="F37" s="418">
        <v>1</v>
      </c>
      <c r="G37" s="418">
        <v>40000</v>
      </c>
      <c r="H37" s="418">
        <v>1</v>
      </c>
      <c r="I37" s="418">
        <v>40000</v>
      </c>
      <c r="J37" s="418">
        <v>0</v>
      </c>
      <c r="K37" s="418">
        <v>0</v>
      </c>
      <c r="L37" s="418">
        <v>0</v>
      </c>
      <c r="M37" s="418">
        <v>0</v>
      </c>
      <c r="N37" s="418">
        <v>0</v>
      </c>
      <c r="O37" s="418">
        <v>0</v>
      </c>
      <c r="P37" s="418">
        <v>0</v>
      </c>
      <c r="Q37" s="418">
        <f t="shared" si="3"/>
        <v>0</v>
      </c>
      <c r="R37" s="418">
        <v>0</v>
      </c>
      <c r="S37" s="418">
        <v>0</v>
      </c>
      <c r="T37" s="418">
        <v>0</v>
      </c>
      <c r="U37" s="418">
        <v>0</v>
      </c>
    </row>
    <row r="38" spans="1:24" s="473" customFormat="1" ht="18.600000000000001" customHeight="1" x14ac:dyDescent="0.25">
      <c r="A38" s="137" t="s">
        <v>245</v>
      </c>
      <c r="B38" s="426" t="s">
        <v>449</v>
      </c>
      <c r="C38" s="427">
        <v>40381</v>
      </c>
      <c r="D38" s="317">
        <v>612446.12</v>
      </c>
      <c r="E38" s="469">
        <v>44174</v>
      </c>
      <c r="F38" s="418">
        <v>4</v>
      </c>
      <c r="G38" s="418">
        <v>695999.99</v>
      </c>
      <c r="H38" s="418">
        <v>0</v>
      </c>
      <c r="I38" s="418">
        <v>0</v>
      </c>
      <c r="J38" s="418">
        <v>4</v>
      </c>
      <c r="K38" s="418">
        <v>612446.12</v>
      </c>
      <c r="L38" s="418">
        <v>4</v>
      </c>
      <c r="M38" s="418">
        <v>4</v>
      </c>
      <c r="N38" s="418">
        <v>612446.12</v>
      </c>
      <c r="O38" s="418">
        <v>0</v>
      </c>
      <c r="P38" s="418">
        <v>0</v>
      </c>
      <c r="Q38" s="418">
        <f t="shared" si="3"/>
        <v>0</v>
      </c>
      <c r="R38" s="418">
        <v>5</v>
      </c>
      <c r="S38" s="418">
        <v>420151.55000000005</v>
      </c>
      <c r="T38" s="418">
        <v>3</v>
      </c>
      <c r="U38" s="418">
        <v>294219.52000000002</v>
      </c>
    </row>
    <row r="39" spans="1:24" s="473" customFormat="1" ht="22.5" x14ac:dyDescent="0.25">
      <c r="A39" s="137" t="s">
        <v>242</v>
      </c>
      <c r="B39" s="414" t="s">
        <v>450</v>
      </c>
      <c r="C39" s="427">
        <v>41163</v>
      </c>
      <c r="D39" s="317">
        <v>299483.5</v>
      </c>
      <c r="E39" s="469">
        <v>44104</v>
      </c>
      <c r="F39" s="418">
        <v>10</v>
      </c>
      <c r="G39" s="418">
        <v>461444.5</v>
      </c>
      <c r="H39" s="418">
        <v>0</v>
      </c>
      <c r="I39" s="418">
        <v>0</v>
      </c>
      <c r="J39" s="418">
        <v>6</v>
      </c>
      <c r="K39" s="418">
        <v>299483.5</v>
      </c>
      <c r="L39" s="418">
        <v>6</v>
      </c>
      <c r="M39" s="418">
        <v>6</v>
      </c>
      <c r="N39" s="418">
        <f>411444.5-111961</f>
        <v>299483.5</v>
      </c>
      <c r="O39" s="418">
        <v>4</v>
      </c>
      <c r="P39" s="418">
        <f>50000+111961</f>
        <v>161961</v>
      </c>
      <c r="Q39" s="418">
        <f>K39-N39</f>
        <v>0</v>
      </c>
      <c r="R39" s="418">
        <v>12</v>
      </c>
      <c r="S39" s="418">
        <v>299483.5</v>
      </c>
      <c r="T39" s="418">
        <v>12</v>
      </c>
      <c r="U39" s="418">
        <v>299483.5</v>
      </c>
    </row>
    <row r="40" spans="1:24" s="473" customFormat="1" ht="33.75" x14ac:dyDescent="0.25">
      <c r="A40" s="137" t="s">
        <v>275</v>
      </c>
      <c r="B40" s="414" t="s">
        <v>290</v>
      </c>
      <c r="C40" s="427">
        <v>47341</v>
      </c>
      <c r="D40" s="188">
        <v>35199.120000000003</v>
      </c>
      <c r="E40" s="477">
        <v>44242</v>
      </c>
      <c r="F40" s="418">
        <v>5</v>
      </c>
      <c r="G40" s="418">
        <v>180680</v>
      </c>
      <c r="H40" s="418">
        <v>0</v>
      </c>
      <c r="I40" s="418">
        <v>0</v>
      </c>
      <c r="J40" s="418">
        <v>1</v>
      </c>
      <c r="K40" s="418">
        <v>35199.120000000003</v>
      </c>
      <c r="L40" s="418">
        <v>1</v>
      </c>
      <c r="M40" s="418">
        <v>1</v>
      </c>
      <c r="N40" s="418">
        <v>35199.120000000003</v>
      </c>
      <c r="O40" s="418">
        <v>4</v>
      </c>
      <c r="P40" s="418">
        <f>119960+12446.08</f>
        <v>132406.07999999999</v>
      </c>
      <c r="Q40" s="418">
        <f t="shared" si="3"/>
        <v>0</v>
      </c>
      <c r="R40" s="418">
        <v>2</v>
      </c>
      <c r="S40" s="418">
        <v>20764.060000000001</v>
      </c>
      <c r="T40" s="418">
        <v>1</v>
      </c>
      <c r="U40" s="418">
        <v>20174.060000000001</v>
      </c>
      <c r="X40" s="478"/>
    </row>
    <row r="41" spans="1:24" s="473" customFormat="1" x14ac:dyDescent="0.25">
      <c r="A41" s="137" t="s">
        <v>151</v>
      </c>
      <c r="B41" s="414" t="s">
        <v>318</v>
      </c>
      <c r="C41" s="427">
        <v>48901</v>
      </c>
      <c r="D41" s="317">
        <v>0</v>
      </c>
      <c r="E41" s="477">
        <v>44242</v>
      </c>
      <c r="F41" s="418">
        <v>0</v>
      </c>
      <c r="G41" s="418">
        <v>0</v>
      </c>
      <c r="H41" s="418">
        <v>0</v>
      </c>
      <c r="I41" s="418">
        <v>0</v>
      </c>
      <c r="J41" s="418">
        <v>0</v>
      </c>
      <c r="K41" s="418">
        <v>0</v>
      </c>
      <c r="L41" s="418">
        <v>0</v>
      </c>
      <c r="M41" s="418">
        <v>0</v>
      </c>
      <c r="N41" s="418">
        <v>0</v>
      </c>
      <c r="O41" s="418">
        <v>0</v>
      </c>
      <c r="P41" s="418">
        <v>0</v>
      </c>
      <c r="Q41" s="418">
        <f t="shared" si="3"/>
        <v>0</v>
      </c>
      <c r="R41" s="418">
        <v>0</v>
      </c>
      <c r="S41" s="418">
        <v>0</v>
      </c>
      <c r="T41" s="418">
        <v>0</v>
      </c>
      <c r="U41" s="418">
        <v>0</v>
      </c>
    </row>
    <row r="42" spans="1:24" s="473" customFormat="1" ht="22.5" x14ac:dyDescent="0.25">
      <c r="A42" s="333" t="s">
        <v>242</v>
      </c>
      <c r="B42" s="414" t="s">
        <v>544</v>
      </c>
      <c r="C42" s="427">
        <v>70582</v>
      </c>
      <c r="D42" s="188">
        <v>1147973.69</v>
      </c>
      <c r="E42" s="477">
        <v>45000</v>
      </c>
      <c r="F42" s="418">
        <v>34</v>
      </c>
      <c r="G42" s="418">
        <v>1700977.69</v>
      </c>
      <c r="H42" s="418">
        <v>1</v>
      </c>
      <c r="I42" s="418">
        <v>50000</v>
      </c>
      <c r="J42" s="418">
        <v>26</v>
      </c>
      <c r="K42" s="418">
        <v>1297973.69</v>
      </c>
      <c r="L42" s="418">
        <v>26</v>
      </c>
      <c r="M42" s="418">
        <v>23</v>
      </c>
      <c r="N42" s="418">
        <f>1197973.69-50000</f>
        <v>1147973.69</v>
      </c>
      <c r="O42" s="418">
        <v>7</v>
      </c>
      <c r="P42" s="418">
        <v>350000</v>
      </c>
      <c r="Q42" s="418">
        <f>K42-N42</f>
        <v>150000</v>
      </c>
      <c r="R42" s="418">
        <v>46</v>
      </c>
      <c r="S42" s="418">
        <v>1167981.67</v>
      </c>
      <c r="T42" s="418">
        <v>42</v>
      </c>
      <c r="U42" s="418">
        <v>1087976.08</v>
      </c>
    </row>
    <row r="43" spans="1:24" s="473" customFormat="1" ht="33.75" x14ac:dyDescent="0.25">
      <c r="A43" s="333" t="s">
        <v>539</v>
      </c>
      <c r="B43" s="479" t="s">
        <v>564</v>
      </c>
      <c r="C43" s="427">
        <v>72841</v>
      </c>
      <c r="D43" s="413">
        <v>462611.08</v>
      </c>
      <c r="E43" s="477">
        <v>45084</v>
      </c>
      <c r="F43" s="418">
        <v>19</v>
      </c>
      <c r="G43" s="418">
        <v>1266096</v>
      </c>
      <c r="H43" s="418">
        <v>0</v>
      </c>
      <c r="I43" s="418">
        <v>0</v>
      </c>
      <c r="J43" s="418">
        <v>7</v>
      </c>
      <c r="K43" s="418">
        <v>542516.60000000009</v>
      </c>
      <c r="L43" s="418">
        <v>7</v>
      </c>
      <c r="M43" s="418">
        <v>7</v>
      </c>
      <c r="N43" s="418">
        <v>542516.60000000009</v>
      </c>
      <c r="O43" s="418">
        <v>0</v>
      </c>
      <c r="P43" s="418">
        <v>0</v>
      </c>
      <c r="Q43" s="418">
        <f>K43-N43</f>
        <v>0</v>
      </c>
      <c r="R43" s="418">
        <v>6</v>
      </c>
      <c r="S43" s="418">
        <v>294736.08</v>
      </c>
      <c r="T43" s="418">
        <v>3</v>
      </c>
      <c r="U43" s="418">
        <v>96007.640000000014</v>
      </c>
    </row>
    <row r="44" spans="1:24" s="473" customFormat="1" ht="33.75" x14ac:dyDescent="0.25">
      <c r="A44" s="333" t="s">
        <v>538</v>
      </c>
      <c r="B44" s="414" t="s">
        <v>552</v>
      </c>
      <c r="C44" s="427">
        <v>73577</v>
      </c>
      <c r="D44" s="413">
        <v>245134.16</v>
      </c>
      <c r="E44" s="415">
        <v>45112</v>
      </c>
      <c r="F44" s="418">
        <v>5</v>
      </c>
      <c r="G44" s="418">
        <v>254377.48</v>
      </c>
      <c r="H44" s="418">
        <v>0</v>
      </c>
      <c r="I44" s="418">
        <v>0</v>
      </c>
      <c r="J44" s="418">
        <v>5</v>
      </c>
      <c r="K44" s="418">
        <v>245134.16</v>
      </c>
      <c r="L44" s="418">
        <v>5</v>
      </c>
      <c r="M44" s="418">
        <v>5</v>
      </c>
      <c r="N44" s="418">
        <v>245134.16</v>
      </c>
      <c r="O44" s="418">
        <v>0</v>
      </c>
      <c r="P44" s="418">
        <v>0</v>
      </c>
      <c r="Q44" s="418">
        <f>K44-N44</f>
        <v>0</v>
      </c>
      <c r="R44" s="418">
        <v>5</v>
      </c>
      <c r="S44" s="418">
        <v>188758.76</v>
      </c>
      <c r="T44" s="418">
        <v>5</v>
      </c>
      <c r="U44" s="418">
        <v>188633.96000000002</v>
      </c>
    </row>
    <row r="45" spans="1:24" s="473" customFormat="1" x14ac:dyDescent="0.25">
      <c r="A45" s="333" t="s">
        <v>273</v>
      </c>
      <c r="B45" s="414" t="s">
        <v>548</v>
      </c>
      <c r="C45" s="427">
        <v>73722</v>
      </c>
      <c r="D45" s="413">
        <v>684856.9</v>
      </c>
      <c r="E45" s="415">
        <v>45124</v>
      </c>
      <c r="F45" s="418">
        <v>4</v>
      </c>
      <c r="G45" s="418">
        <v>706868.31</v>
      </c>
      <c r="H45" s="418">
        <v>0</v>
      </c>
      <c r="I45" s="418">
        <v>0</v>
      </c>
      <c r="J45" s="418">
        <v>4</v>
      </c>
      <c r="K45" s="420">
        <v>684856.9</v>
      </c>
      <c r="L45" s="418">
        <v>4</v>
      </c>
      <c r="M45" s="418">
        <v>4</v>
      </c>
      <c r="N45" s="418">
        <v>684856.49</v>
      </c>
      <c r="O45" s="418">
        <v>0</v>
      </c>
      <c r="P45" s="418">
        <v>0</v>
      </c>
      <c r="Q45" s="418">
        <f>K45-N45</f>
        <v>0.41000000003259629</v>
      </c>
      <c r="R45" s="418">
        <v>5</v>
      </c>
      <c r="S45" s="418">
        <v>673999.35</v>
      </c>
      <c r="T45" s="418">
        <v>1</v>
      </c>
      <c r="U45" s="418">
        <v>92904.02</v>
      </c>
    </row>
    <row r="46" spans="1:24" s="473" customFormat="1" ht="22.5" x14ac:dyDescent="0.25">
      <c r="A46" s="333" t="s">
        <v>539</v>
      </c>
      <c r="B46" s="414" t="s">
        <v>553</v>
      </c>
      <c r="C46" s="427">
        <v>73721</v>
      </c>
      <c r="D46" s="413">
        <v>388173.01</v>
      </c>
      <c r="E46" s="415">
        <v>45112</v>
      </c>
      <c r="F46" s="418">
        <v>17</v>
      </c>
      <c r="G46" s="418">
        <v>1238515.6400000001</v>
      </c>
      <c r="H46" s="418">
        <v>0</v>
      </c>
      <c r="I46" s="418">
        <v>0</v>
      </c>
      <c r="J46" s="418">
        <v>6</v>
      </c>
      <c r="K46" s="418">
        <v>413666.65</v>
      </c>
      <c r="L46" s="418">
        <v>6</v>
      </c>
      <c r="M46" s="418">
        <v>6</v>
      </c>
      <c r="N46" s="418">
        <v>413666.65</v>
      </c>
      <c r="O46" s="418">
        <v>2</v>
      </c>
      <c r="P46" s="418">
        <v>124000</v>
      </c>
      <c r="Q46" s="418">
        <f>K46-N46</f>
        <v>0</v>
      </c>
      <c r="R46" s="418">
        <v>8</v>
      </c>
      <c r="S46" s="418">
        <v>306603.48</v>
      </c>
      <c r="T46" s="418">
        <v>6</v>
      </c>
      <c r="U46" s="418">
        <v>236898.39999999997</v>
      </c>
      <c r="W46" s="478"/>
    </row>
    <row r="47" spans="1:24" x14ac:dyDescent="0.2">
      <c r="A47" s="73" t="s">
        <v>1</v>
      </c>
      <c r="B47" s="73"/>
      <c r="C47" s="140"/>
      <c r="D47" s="74">
        <f>SUM(D32:D46)</f>
        <v>4646084.41</v>
      </c>
      <c r="E47" s="74"/>
      <c r="F47" s="74">
        <f t="shared" ref="F47:U47" si="4">SUM(F32:F46)</f>
        <v>129</v>
      </c>
      <c r="G47" s="74">
        <f t="shared" si="4"/>
        <v>8003646.7600000016</v>
      </c>
      <c r="H47" s="74">
        <f t="shared" si="4"/>
        <v>3</v>
      </c>
      <c r="I47" s="74">
        <f t="shared" si="4"/>
        <v>140000</v>
      </c>
      <c r="J47" s="74">
        <f t="shared" si="4"/>
        <v>77</v>
      </c>
      <c r="K47" s="74">
        <f t="shared" si="4"/>
        <v>4901483.5700000012</v>
      </c>
      <c r="L47" s="74">
        <f t="shared" si="4"/>
        <v>77</v>
      </c>
      <c r="M47" s="74">
        <f t="shared" si="4"/>
        <v>74</v>
      </c>
      <c r="N47" s="74">
        <f t="shared" si="4"/>
        <v>4751483.1600000011</v>
      </c>
      <c r="O47" s="74">
        <f t="shared" si="4"/>
        <v>28</v>
      </c>
      <c r="P47" s="74">
        <f t="shared" si="4"/>
        <v>1368719.56</v>
      </c>
      <c r="Q47" s="74">
        <f t="shared" si="4"/>
        <v>150000.41000000003</v>
      </c>
      <c r="R47" s="74">
        <f t="shared" si="4"/>
        <v>113</v>
      </c>
      <c r="S47" s="74">
        <f t="shared" si="4"/>
        <v>4085781.05</v>
      </c>
      <c r="T47" s="491">
        <f t="shared" si="4"/>
        <v>91</v>
      </c>
      <c r="U47" s="491">
        <f t="shared" si="4"/>
        <v>2864302.49</v>
      </c>
    </row>
    <row r="48" spans="1:24" customFormat="1" ht="15" customHeight="1" x14ac:dyDescent="0.25">
      <c r="A48" s="210" t="s">
        <v>390</v>
      </c>
      <c r="B48" s="134"/>
      <c r="C48" s="134"/>
      <c r="D48" s="134"/>
      <c r="E48" s="134"/>
      <c r="F48" s="134"/>
      <c r="G48" s="134"/>
      <c r="H48" s="134"/>
      <c r="I48" s="134"/>
      <c r="J48" s="134"/>
      <c r="K48" s="134"/>
      <c r="L48" s="134"/>
      <c r="M48" s="134"/>
      <c r="N48" s="134"/>
      <c r="O48" s="134"/>
      <c r="P48" s="384"/>
      <c r="Q48" s="134"/>
      <c r="R48" s="134"/>
    </row>
    <row r="49" spans="1:24" s="23" customFormat="1" ht="30" customHeight="1" x14ac:dyDescent="0.25">
      <c r="A49" s="1124" t="s">
        <v>744</v>
      </c>
      <c r="B49" s="1124"/>
      <c r="C49" s="1124"/>
      <c r="D49" s="1124"/>
      <c r="E49" s="1124"/>
      <c r="F49" s="1124"/>
      <c r="G49" s="1124"/>
      <c r="H49" s="1124"/>
      <c r="I49" s="1124"/>
      <c r="J49" s="1124"/>
      <c r="K49" s="1124"/>
      <c r="L49" s="1124"/>
      <c r="M49" s="1124"/>
      <c r="N49" s="1124"/>
      <c r="O49" s="1124"/>
      <c r="P49" s="1124"/>
      <c r="Q49" s="1124"/>
      <c r="R49" s="1124"/>
      <c r="S49" s="1124"/>
      <c r="T49" s="1124"/>
      <c r="U49" s="1124"/>
      <c r="V49" s="87"/>
      <c r="X49" s="87"/>
    </row>
  </sheetData>
  <mergeCells count="36">
    <mergeCell ref="A1:U1"/>
    <mergeCell ref="A2:A5"/>
    <mergeCell ref="B2:B5"/>
    <mergeCell ref="C2:C5"/>
    <mergeCell ref="D2:D5"/>
    <mergeCell ref="E2:E5"/>
    <mergeCell ref="F2:G4"/>
    <mergeCell ref="J2:K4"/>
    <mergeCell ref="L2:P2"/>
    <mergeCell ref="Q2:Q4"/>
    <mergeCell ref="O3:P4"/>
    <mergeCell ref="L4:L5"/>
    <mergeCell ref="H2:I4"/>
    <mergeCell ref="O29:P30"/>
    <mergeCell ref="M30:N30"/>
    <mergeCell ref="A26:U26"/>
    <mergeCell ref="T2:U4"/>
    <mergeCell ref="L3:N3"/>
    <mergeCell ref="R2:S4"/>
    <mergeCell ref="M4:N4"/>
    <mergeCell ref="A49:U49"/>
    <mergeCell ref="L30:L31"/>
    <mergeCell ref="C28:C31"/>
    <mergeCell ref="A27:U27"/>
    <mergeCell ref="A28:A31"/>
    <mergeCell ref="B28:B31"/>
    <mergeCell ref="D28:D31"/>
    <mergeCell ref="E28:E31"/>
    <mergeCell ref="F28:G30"/>
    <mergeCell ref="J28:K30"/>
    <mergeCell ref="L28:P28"/>
    <mergeCell ref="Q28:Q30"/>
    <mergeCell ref="R28:S30"/>
    <mergeCell ref="T28:U30"/>
    <mergeCell ref="L29:N29"/>
    <mergeCell ref="H28:I30"/>
  </mergeCells>
  <printOptions horizontalCentered="1"/>
  <pageMargins left="0.51181102362204722" right="0.51181102362204722" top="0.74803149606299213" bottom="0.74803149606299213" header="0.31496062992125984" footer="0.31496062992125984"/>
  <pageSetup paperSize="9" scale="56" orientation="landscape" r:id="rId1"/>
  <rowBreaks count="1" manualBreakCount="1">
    <brk id="26" max="20" man="1"/>
  </rowBreaks>
  <colBreaks count="1" manualBreakCount="1">
    <brk id="21"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W39"/>
  <sheetViews>
    <sheetView view="pageBreakPreview" topLeftCell="C22" zoomScaleNormal="100" zoomScaleSheetLayoutView="100" workbookViewId="0">
      <selection activeCell="R32" sqref="R32:S33"/>
    </sheetView>
  </sheetViews>
  <sheetFormatPr defaultRowHeight="15" x14ac:dyDescent="0.25"/>
  <cols>
    <col min="1" max="1" width="8.5703125" customWidth="1"/>
    <col min="2" max="2" width="22.85546875" customWidth="1"/>
    <col min="3" max="3" width="10" customWidth="1"/>
    <col min="4" max="4" width="9.42578125" customWidth="1"/>
    <col min="5" max="5" width="8.42578125" customWidth="1"/>
    <col min="6" max="6" width="3.140625" bestFit="1" customWidth="1"/>
    <col min="7" max="7" width="10.42578125" customWidth="1"/>
    <col min="8" max="8" width="3.140625" bestFit="1" customWidth="1"/>
    <col min="9" max="9" width="8.42578125" customWidth="1"/>
    <col min="10" max="10" width="3.140625" bestFit="1" customWidth="1"/>
    <col min="11" max="11" width="9.28515625" bestFit="1" customWidth="1"/>
    <col min="12" max="13" width="3.140625" bestFit="1" customWidth="1"/>
    <col min="14" max="14" width="9" customWidth="1"/>
    <col min="15" max="15" width="3.140625" bestFit="1" customWidth="1"/>
    <col min="16" max="17" width="8.5703125" customWidth="1"/>
    <col min="18" max="18" width="3.140625" bestFit="1" customWidth="1"/>
    <col min="19" max="19" width="8.5703125" customWidth="1"/>
    <col min="20" max="20" width="3.140625" bestFit="1" customWidth="1"/>
    <col min="21" max="21" width="8.5703125" customWidth="1"/>
  </cols>
  <sheetData>
    <row r="1" spans="1:23" s="12" customFormat="1" ht="20.45" customHeight="1" x14ac:dyDescent="0.2">
      <c r="A1" s="1125" t="s">
        <v>647</v>
      </c>
      <c r="B1" s="1125"/>
      <c r="C1" s="1126"/>
      <c r="D1" s="1125"/>
      <c r="E1" s="1125"/>
      <c r="F1" s="1125"/>
      <c r="G1" s="1125"/>
      <c r="H1" s="1126"/>
      <c r="I1" s="1126"/>
      <c r="J1" s="1125"/>
      <c r="K1" s="1125"/>
      <c r="L1" s="1125"/>
      <c r="M1" s="1125"/>
      <c r="N1" s="1125"/>
      <c r="O1" s="1125"/>
      <c r="P1" s="1125"/>
      <c r="Q1" s="1125"/>
      <c r="R1" s="1125"/>
      <c r="S1" s="1125"/>
      <c r="T1" s="1125"/>
      <c r="U1" s="1125"/>
    </row>
    <row r="2" spans="1:23" s="12" customFormat="1"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V2" s="92"/>
      <c r="W2" s="92"/>
    </row>
    <row r="3" spans="1:23" s="12" customFormat="1"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V3" s="92"/>
      <c r="W3" s="92"/>
    </row>
    <row r="4" spans="1:23" s="12" customFormat="1"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V4" s="92"/>
      <c r="W4" s="92"/>
    </row>
    <row r="5" spans="1:23" s="12" customFormat="1" ht="21.75"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V5" s="92"/>
      <c r="W5" s="92"/>
    </row>
    <row r="6" spans="1:23" s="473" customFormat="1" ht="45" x14ac:dyDescent="0.25">
      <c r="A6" s="137" t="s">
        <v>538</v>
      </c>
      <c r="B6" s="426" t="s">
        <v>442</v>
      </c>
      <c r="C6" s="427">
        <v>33224</v>
      </c>
      <c r="D6" s="468">
        <v>900000</v>
      </c>
      <c r="E6" s="474">
        <v>43766.999988425923</v>
      </c>
      <c r="F6" s="418">
        <v>86</v>
      </c>
      <c r="G6" s="418">
        <v>3046278.21</v>
      </c>
      <c r="H6" s="418">
        <v>0</v>
      </c>
      <c r="I6" s="418">
        <v>0</v>
      </c>
      <c r="J6" s="418">
        <v>27</v>
      </c>
      <c r="K6" s="418">
        <v>1097039.45</v>
      </c>
      <c r="L6" s="418">
        <v>27</v>
      </c>
      <c r="M6" s="418">
        <v>26</v>
      </c>
      <c r="N6" s="418">
        <v>1072039.45</v>
      </c>
      <c r="O6" s="418">
        <v>23</v>
      </c>
      <c r="P6" s="418">
        <v>823604</v>
      </c>
      <c r="Q6" s="418">
        <f t="shared" ref="Q6:Q15" si="0">K6-N6</f>
        <v>25000</v>
      </c>
      <c r="R6" s="418">
        <v>25</v>
      </c>
      <c r="S6" s="418">
        <v>620694.85000000009</v>
      </c>
      <c r="T6" s="418">
        <v>20</v>
      </c>
      <c r="U6" s="418">
        <v>491433.00000000006</v>
      </c>
    </row>
    <row r="7" spans="1:23" s="473" customFormat="1" ht="22.5" x14ac:dyDescent="0.25">
      <c r="A7" s="137" t="s">
        <v>242</v>
      </c>
      <c r="B7" s="426" t="s">
        <v>487</v>
      </c>
      <c r="C7" s="427">
        <v>67381</v>
      </c>
      <c r="D7" s="468">
        <v>600000</v>
      </c>
      <c r="E7" s="474">
        <v>44903</v>
      </c>
      <c r="F7" s="418">
        <v>23</v>
      </c>
      <c r="G7" s="418">
        <v>1150000</v>
      </c>
      <c r="H7" s="418">
        <v>1</v>
      </c>
      <c r="I7" s="418">
        <v>50000</v>
      </c>
      <c r="J7" s="418">
        <v>18</v>
      </c>
      <c r="K7" s="420">
        <v>900000</v>
      </c>
      <c r="L7" s="418">
        <v>18</v>
      </c>
      <c r="M7" s="418">
        <v>18</v>
      </c>
      <c r="N7" s="418">
        <v>900000</v>
      </c>
      <c r="O7" s="418">
        <v>3</v>
      </c>
      <c r="P7" s="418">
        <v>150000</v>
      </c>
      <c r="Q7" s="418">
        <f t="shared" si="0"/>
        <v>0</v>
      </c>
      <c r="R7" s="418">
        <v>28</v>
      </c>
      <c r="S7" s="418">
        <v>760000</v>
      </c>
      <c r="T7" s="418">
        <v>24</v>
      </c>
      <c r="U7" s="418">
        <v>660000</v>
      </c>
    </row>
    <row r="8" spans="1:23" s="473" customFormat="1" ht="22.5" x14ac:dyDescent="0.25">
      <c r="A8" s="137" t="s">
        <v>365</v>
      </c>
      <c r="B8" s="426" t="s">
        <v>531</v>
      </c>
      <c r="C8" s="427">
        <v>67383</v>
      </c>
      <c r="D8" s="188">
        <v>282219.15000000002</v>
      </c>
      <c r="E8" s="474">
        <v>44916</v>
      </c>
      <c r="F8" s="418">
        <v>1</v>
      </c>
      <c r="G8" s="418">
        <v>54586.879999999997</v>
      </c>
      <c r="H8" s="418">
        <v>0</v>
      </c>
      <c r="I8" s="418">
        <v>0</v>
      </c>
      <c r="J8" s="418">
        <v>0</v>
      </c>
      <c r="K8" s="418">
        <v>0</v>
      </c>
      <c r="L8" s="418">
        <v>0</v>
      </c>
      <c r="M8" s="418">
        <v>0</v>
      </c>
      <c r="N8" s="418">
        <v>0</v>
      </c>
      <c r="O8" s="418">
        <v>1</v>
      </c>
      <c r="P8" s="418">
        <v>54586.879999999997</v>
      </c>
      <c r="Q8" s="418">
        <f>K8-N8</f>
        <v>0</v>
      </c>
      <c r="R8" s="418">
        <v>0</v>
      </c>
      <c r="S8" s="418">
        <v>0</v>
      </c>
      <c r="T8" s="418">
        <v>0</v>
      </c>
      <c r="U8" s="418">
        <v>0</v>
      </c>
    </row>
    <row r="9" spans="1:23" s="473" customFormat="1" ht="33.75" x14ac:dyDescent="0.25">
      <c r="A9" s="137" t="s">
        <v>538</v>
      </c>
      <c r="B9" s="426" t="s">
        <v>554</v>
      </c>
      <c r="C9" s="427">
        <v>72961</v>
      </c>
      <c r="D9" s="471">
        <v>443973.45</v>
      </c>
      <c r="E9" s="474">
        <v>45111</v>
      </c>
      <c r="F9" s="418">
        <v>2</v>
      </c>
      <c r="G9" s="418">
        <v>52400</v>
      </c>
      <c r="H9" s="418">
        <v>0</v>
      </c>
      <c r="I9" s="418">
        <v>0</v>
      </c>
      <c r="J9" s="418">
        <v>1</v>
      </c>
      <c r="K9" s="418">
        <v>24675</v>
      </c>
      <c r="L9" s="418">
        <v>1</v>
      </c>
      <c r="M9" s="418">
        <v>1</v>
      </c>
      <c r="N9" s="418">
        <v>24675</v>
      </c>
      <c r="O9" s="418">
        <v>1</v>
      </c>
      <c r="P9" s="418">
        <v>26400</v>
      </c>
      <c r="Q9" s="418">
        <f t="shared" si="0"/>
        <v>0</v>
      </c>
      <c r="R9" s="418">
        <v>1</v>
      </c>
      <c r="S9" s="418">
        <v>24675</v>
      </c>
      <c r="T9" s="418">
        <v>1</v>
      </c>
      <c r="U9" s="418">
        <v>24675</v>
      </c>
    </row>
    <row r="10" spans="1:23" s="473" customFormat="1" ht="22.5" x14ac:dyDescent="0.25">
      <c r="A10" s="137" t="s">
        <v>245</v>
      </c>
      <c r="B10" s="426" t="s">
        <v>555</v>
      </c>
      <c r="C10" s="427">
        <v>74482</v>
      </c>
      <c r="D10" s="471">
        <v>0</v>
      </c>
      <c r="E10" s="474">
        <v>45223</v>
      </c>
      <c r="F10" s="418">
        <v>0</v>
      </c>
      <c r="G10" s="418">
        <v>0</v>
      </c>
      <c r="H10" s="418">
        <v>0</v>
      </c>
      <c r="I10" s="418">
        <v>0</v>
      </c>
      <c r="J10" s="418">
        <v>0</v>
      </c>
      <c r="K10" s="420">
        <v>0</v>
      </c>
      <c r="L10" s="418">
        <v>0</v>
      </c>
      <c r="M10" s="418">
        <v>0</v>
      </c>
      <c r="N10" s="418">
        <v>0</v>
      </c>
      <c r="O10" s="418">
        <v>0</v>
      </c>
      <c r="P10" s="418">
        <v>0</v>
      </c>
      <c r="Q10" s="418">
        <f t="shared" si="0"/>
        <v>0</v>
      </c>
      <c r="R10" s="418">
        <v>0</v>
      </c>
      <c r="S10" s="418">
        <v>0</v>
      </c>
      <c r="T10" s="418">
        <v>0</v>
      </c>
      <c r="U10" s="418">
        <v>0</v>
      </c>
    </row>
    <row r="11" spans="1:23" s="473" customFormat="1" ht="45" x14ac:dyDescent="0.25">
      <c r="A11" s="137" t="s">
        <v>538</v>
      </c>
      <c r="B11" s="426" t="s">
        <v>572</v>
      </c>
      <c r="C11" s="427">
        <v>75602</v>
      </c>
      <c r="D11" s="471">
        <v>398038.64</v>
      </c>
      <c r="E11" s="474">
        <v>45225</v>
      </c>
      <c r="F11" s="418">
        <v>39</v>
      </c>
      <c r="G11" s="418">
        <v>1350253.98</v>
      </c>
      <c r="H11" s="418">
        <v>0</v>
      </c>
      <c r="I11" s="418">
        <v>0</v>
      </c>
      <c r="J11" s="342">
        <v>19</v>
      </c>
      <c r="K11" s="531">
        <v>663999.5</v>
      </c>
      <c r="L11" s="418">
        <v>19</v>
      </c>
      <c r="M11" s="418">
        <v>16</v>
      </c>
      <c r="N11" s="418">
        <v>482161.87000000005</v>
      </c>
      <c r="O11" s="418">
        <v>7</v>
      </c>
      <c r="P11" s="418">
        <v>259250</v>
      </c>
      <c r="Q11" s="418">
        <f t="shared" si="0"/>
        <v>181837.62999999995</v>
      </c>
      <c r="R11" s="418">
        <v>15</v>
      </c>
      <c r="S11" s="418">
        <v>338039.70999999996</v>
      </c>
      <c r="T11" s="418">
        <v>3</v>
      </c>
      <c r="U11" s="418">
        <v>53091.81</v>
      </c>
    </row>
    <row r="12" spans="1:23" s="473" customFormat="1" ht="22.5" x14ac:dyDescent="0.25">
      <c r="A12" s="137" t="s">
        <v>245</v>
      </c>
      <c r="B12" s="426" t="s">
        <v>609</v>
      </c>
      <c r="C12" s="427">
        <v>76821</v>
      </c>
      <c r="D12" s="471">
        <v>800000</v>
      </c>
      <c r="E12" s="442">
        <v>45377.999988425923</v>
      </c>
      <c r="F12" s="418">
        <v>4</v>
      </c>
      <c r="G12" s="418">
        <v>799999.97</v>
      </c>
      <c r="H12" s="418">
        <v>0</v>
      </c>
      <c r="I12" s="418">
        <v>0</v>
      </c>
      <c r="J12" s="418">
        <v>1</v>
      </c>
      <c r="K12" s="418">
        <v>199999.97</v>
      </c>
      <c r="L12" s="418">
        <v>0</v>
      </c>
      <c r="M12" s="418">
        <v>0</v>
      </c>
      <c r="N12" s="418">
        <v>0</v>
      </c>
      <c r="O12" s="418">
        <v>0</v>
      </c>
      <c r="P12" s="418">
        <v>0</v>
      </c>
      <c r="Q12" s="418">
        <f t="shared" si="0"/>
        <v>199999.97</v>
      </c>
      <c r="R12" s="418">
        <v>0</v>
      </c>
      <c r="S12" s="418">
        <v>0</v>
      </c>
      <c r="T12" s="418">
        <v>0</v>
      </c>
      <c r="U12" s="418">
        <v>0</v>
      </c>
    </row>
    <row r="13" spans="1:23" s="473" customFormat="1" ht="33.75" x14ac:dyDescent="0.25">
      <c r="A13" s="137" t="s">
        <v>242</v>
      </c>
      <c r="B13" s="426" t="s">
        <v>610</v>
      </c>
      <c r="C13" s="427">
        <v>78581</v>
      </c>
      <c r="D13" s="471">
        <v>210000</v>
      </c>
      <c r="E13" s="442">
        <v>45394</v>
      </c>
      <c r="F13" s="418">
        <v>17</v>
      </c>
      <c r="G13" s="418">
        <v>595000</v>
      </c>
      <c r="H13" s="418">
        <v>0</v>
      </c>
      <c r="I13" s="418">
        <v>0</v>
      </c>
      <c r="J13" s="418">
        <v>17</v>
      </c>
      <c r="K13" s="420">
        <v>595000</v>
      </c>
      <c r="L13" s="342">
        <v>17</v>
      </c>
      <c r="M13" s="418">
        <v>14</v>
      </c>
      <c r="N13" s="418">
        <v>490000</v>
      </c>
      <c r="O13" s="418">
        <v>0</v>
      </c>
      <c r="P13" s="418">
        <v>0</v>
      </c>
      <c r="Q13" s="418">
        <f t="shared" si="0"/>
        <v>105000</v>
      </c>
      <c r="R13" s="418">
        <v>26</v>
      </c>
      <c r="S13" s="418">
        <v>469000</v>
      </c>
      <c r="T13" s="418">
        <v>22</v>
      </c>
      <c r="U13" s="418">
        <v>413000</v>
      </c>
    </row>
    <row r="14" spans="1:23" s="473" customFormat="1" ht="33.75" x14ac:dyDescent="0.25">
      <c r="A14" s="137" t="s">
        <v>538</v>
      </c>
      <c r="B14" s="426" t="s">
        <v>610</v>
      </c>
      <c r="C14" s="427">
        <v>78624</v>
      </c>
      <c r="D14" s="471">
        <v>212893.26</v>
      </c>
      <c r="E14" s="442">
        <v>45394</v>
      </c>
      <c r="F14" s="418">
        <v>12</v>
      </c>
      <c r="G14" s="418">
        <v>290968.25</v>
      </c>
      <c r="H14" s="418">
        <v>0</v>
      </c>
      <c r="I14" s="418">
        <v>0</v>
      </c>
      <c r="J14" s="418">
        <v>11</v>
      </c>
      <c r="K14" s="420">
        <v>276761.14</v>
      </c>
      <c r="L14" s="418">
        <v>8</v>
      </c>
      <c r="M14" s="418">
        <v>8</v>
      </c>
      <c r="N14" s="418">
        <v>189311.11</v>
      </c>
      <c r="O14" s="418">
        <v>4</v>
      </c>
      <c r="P14" s="418">
        <v>99161.65</v>
      </c>
      <c r="Q14" s="418">
        <f t="shared" si="0"/>
        <v>87450.030000000028</v>
      </c>
      <c r="R14" s="418">
        <v>7</v>
      </c>
      <c r="S14" s="418">
        <v>146452.01999999999</v>
      </c>
      <c r="T14" s="418">
        <v>1</v>
      </c>
      <c r="U14" s="418">
        <v>5097.09</v>
      </c>
    </row>
    <row r="15" spans="1:23" s="473" customFormat="1" ht="33.75" x14ac:dyDescent="0.25">
      <c r="A15" s="137" t="s">
        <v>238</v>
      </c>
      <c r="B15" s="426" t="s">
        <v>611</v>
      </c>
      <c r="C15" s="427">
        <v>78626</v>
      </c>
      <c r="D15" s="471">
        <v>400000</v>
      </c>
      <c r="E15" s="442">
        <v>45387</v>
      </c>
      <c r="F15" s="418">
        <v>4</v>
      </c>
      <c r="G15" s="418">
        <v>400000</v>
      </c>
      <c r="H15" s="418">
        <v>0</v>
      </c>
      <c r="I15" s="418">
        <v>0</v>
      </c>
      <c r="J15" s="418">
        <v>4</v>
      </c>
      <c r="K15" s="420">
        <v>400000</v>
      </c>
      <c r="L15" s="418">
        <v>3</v>
      </c>
      <c r="M15" s="418">
        <v>0</v>
      </c>
      <c r="N15" s="418">
        <v>0</v>
      </c>
      <c r="O15" s="418">
        <v>0</v>
      </c>
      <c r="P15" s="418">
        <v>0</v>
      </c>
      <c r="Q15" s="418">
        <f t="shared" si="0"/>
        <v>400000</v>
      </c>
      <c r="R15" s="418">
        <v>0</v>
      </c>
      <c r="S15" s="418">
        <v>0</v>
      </c>
      <c r="T15" s="418">
        <v>0</v>
      </c>
      <c r="U15" s="418">
        <v>0</v>
      </c>
      <c r="V15" s="436"/>
      <c r="W15" s="441"/>
    </row>
    <row r="16" spans="1:23" s="584" customFormat="1" ht="18.600000000000001" customHeight="1" x14ac:dyDescent="0.25">
      <c r="A16" s="363" t="s">
        <v>273</v>
      </c>
      <c r="B16" s="358" t="s">
        <v>716</v>
      </c>
      <c r="C16" s="356">
        <v>87862</v>
      </c>
      <c r="D16" s="18">
        <v>1700000</v>
      </c>
      <c r="E16" s="343">
        <v>45875.999988425923</v>
      </c>
      <c r="F16" s="342">
        <v>32</v>
      </c>
      <c r="G16" s="342">
        <v>1595963.5200000003</v>
      </c>
      <c r="H16" s="342">
        <v>0</v>
      </c>
      <c r="I16" s="342">
        <v>0</v>
      </c>
      <c r="J16" s="342">
        <v>32</v>
      </c>
      <c r="K16" s="342">
        <v>1595963.5200000003</v>
      </c>
      <c r="L16" s="342">
        <v>31</v>
      </c>
      <c r="M16" s="342">
        <v>0</v>
      </c>
      <c r="N16" s="342">
        <v>0</v>
      </c>
      <c r="O16" s="342">
        <v>1</v>
      </c>
      <c r="P16" s="342">
        <v>50000</v>
      </c>
      <c r="Q16" s="342">
        <f t="shared" ref="Q16" si="1">K16-N16</f>
        <v>1595963.5200000003</v>
      </c>
      <c r="R16" s="342">
        <v>0</v>
      </c>
      <c r="S16" s="342">
        <v>0</v>
      </c>
      <c r="T16" s="342">
        <v>0</v>
      </c>
      <c r="U16" s="342">
        <v>0</v>
      </c>
      <c r="V16" s="582"/>
      <c r="W16" s="583"/>
    </row>
    <row r="17" spans="1:23" s="12" customFormat="1" ht="13.9" customHeight="1" x14ac:dyDescent="0.2">
      <c r="A17" s="19" t="s">
        <v>1</v>
      </c>
      <c r="B17" s="19"/>
      <c r="C17" s="59"/>
      <c r="D17" s="20">
        <f>SUM(D6:D16)</f>
        <v>5947124.5</v>
      </c>
      <c r="E17" s="20"/>
      <c r="F17" s="20">
        <f t="shared" ref="F17:U17" si="2">SUM(F6:F16)</f>
        <v>220</v>
      </c>
      <c r="G17" s="20">
        <f t="shared" si="2"/>
        <v>9335450.8100000005</v>
      </c>
      <c r="H17" s="20">
        <f t="shared" si="2"/>
        <v>1</v>
      </c>
      <c r="I17" s="20">
        <f t="shared" si="2"/>
        <v>50000</v>
      </c>
      <c r="J17" s="20">
        <f t="shared" si="2"/>
        <v>130</v>
      </c>
      <c r="K17" s="20">
        <f t="shared" si="2"/>
        <v>5753438.580000001</v>
      </c>
      <c r="L17" s="20">
        <f t="shared" si="2"/>
        <v>124</v>
      </c>
      <c r="M17" s="20">
        <f t="shared" si="2"/>
        <v>83</v>
      </c>
      <c r="N17" s="20">
        <f t="shared" si="2"/>
        <v>3158187.4299999997</v>
      </c>
      <c r="O17" s="20">
        <f t="shared" si="2"/>
        <v>40</v>
      </c>
      <c r="P17" s="20">
        <f t="shared" si="2"/>
        <v>1463002.5299999998</v>
      </c>
      <c r="Q17" s="20">
        <f t="shared" si="2"/>
        <v>2595251.1500000004</v>
      </c>
      <c r="R17" s="20">
        <f t="shared" si="2"/>
        <v>102</v>
      </c>
      <c r="S17" s="20">
        <f t="shared" si="2"/>
        <v>2358861.58</v>
      </c>
      <c r="T17" s="20">
        <f t="shared" si="2"/>
        <v>71</v>
      </c>
      <c r="U17" s="20">
        <f t="shared" si="2"/>
        <v>1647296.9000000001</v>
      </c>
    </row>
    <row r="18" spans="1:23" ht="15" customHeight="1" x14ac:dyDescent="0.25">
      <c r="A18" s="210" t="s">
        <v>390</v>
      </c>
      <c r="B18" s="134"/>
      <c r="C18" s="134"/>
      <c r="D18" s="134"/>
      <c r="E18" s="134"/>
      <c r="F18" s="134"/>
      <c r="G18" s="134"/>
      <c r="H18" s="134"/>
      <c r="I18" s="134"/>
      <c r="J18" s="134"/>
      <c r="K18" s="134"/>
      <c r="L18" s="134"/>
      <c r="M18" s="134"/>
      <c r="N18" s="134"/>
      <c r="O18" s="134"/>
      <c r="P18" s="134"/>
      <c r="Q18" s="134"/>
      <c r="R18" s="134"/>
    </row>
    <row r="19" spans="1:23" s="23" customFormat="1" ht="24.6" customHeight="1" x14ac:dyDescent="0.25">
      <c r="A19" s="1124" t="s">
        <v>744</v>
      </c>
      <c r="B19" s="1124"/>
      <c r="C19" s="1124"/>
      <c r="D19" s="1124"/>
      <c r="E19" s="1124"/>
      <c r="F19" s="1124"/>
      <c r="G19" s="1124"/>
      <c r="H19" s="1124"/>
      <c r="I19" s="1124"/>
      <c r="J19" s="1124"/>
      <c r="K19" s="1124"/>
      <c r="L19" s="1124"/>
      <c r="M19" s="1124"/>
      <c r="N19" s="1124"/>
      <c r="O19" s="1124"/>
      <c r="P19" s="1124"/>
      <c r="Q19" s="1124"/>
      <c r="R19" s="1124"/>
      <c r="S19" s="1124"/>
      <c r="T19" s="1124"/>
      <c r="U19" s="1124"/>
      <c r="V19" s="87"/>
    </row>
    <row r="20" spans="1:23" s="12" customFormat="1" ht="19.5" customHeight="1" x14ac:dyDescent="0.2">
      <c r="B20" s="1125" t="s">
        <v>648</v>
      </c>
      <c r="C20" s="1126"/>
      <c r="D20" s="1125"/>
      <c r="E20" s="1125"/>
      <c r="F20" s="1125"/>
      <c r="G20" s="1125"/>
      <c r="H20" s="1126"/>
      <c r="I20" s="1126"/>
      <c r="J20" s="1125"/>
      <c r="K20" s="1125"/>
      <c r="L20" s="1125"/>
      <c r="M20" s="1125"/>
      <c r="N20" s="1125"/>
      <c r="O20" s="1125"/>
      <c r="P20" s="1125"/>
      <c r="Q20" s="1125"/>
      <c r="R20" s="1125"/>
      <c r="S20" s="1125"/>
      <c r="T20" s="1125"/>
      <c r="U20" s="1125"/>
    </row>
    <row r="21" spans="1:23" s="12" customFormat="1" ht="20.25" customHeight="1" x14ac:dyDescent="0.2">
      <c r="A21" s="943" t="s">
        <v>248</v>
      </c>
      <c r="B21" s="943" t="s">
        <v>156</v>
      </c>
      <c r="C21" s="943" t="s">
        <v>282</v>
      </c>
      <c r="D21" s="943" t="s">
        <v>157</v>
      </c>
      <c r="E21" s="943" t="s">
        <v>158</v>
      </c>
      <c r="F21" s="968" t="s">
        <v>337</v>
      </c>
      <c r="G21" s="969"/>
      <c r="H21" s="968" t="s">
        <v>277</v>
      </c>
      <c r="I21" s="969"/>
      <c r="J21" s="968" t="s">
        <v>159</v>
      </c>
      <c r="K21" s="969"/>
      <c r="L21" s="947" t="s">
        <v>749</v>
      </c>
      <c r="M21" s="948"/>
      <c r="N21" s="948"/>
      <c r="O21" s="948"/>
      <c r="P21" s="949"/>
      <c r="Q21" s="943" t="s">
        <v>250</v>
      </c>
      <c r="R21" s="937" t="s">
        <v>750</v>
      </c>
      <c r="S21" s="938"/>
      <c r="T21" s="937" t="s">
        <v>751</v>
      </c>
      <c r="U21" s="938"/>
      <c r="V21" s="92"/>
      <c r="W21" s="92"/>
    </row>
    <row r="22" spans="1:23" s="12" customFormat="1" ht="10.15" customHeight="1" x14ac:dyDescent="0.2">
      <c r="A22" s="944"/>
      <c r="B22" s="944"/>
      <c r="C22" s="944"/>
      <c r="D22" s="944"/>
      <c r="E22" s="944"/>
      <c r="F22" s="939"/>
      <c r="G22" s="940"/>
      <c r="H22" s="939"/>
      <c r="I22" s="940"/>
      <c r="J22" s="939"/>
      <c r="K22" s="940"/>
      <c r="L22" s="975" t="s">
        <v>160</v>
      </c>
      <c r="M22" s="948"/>
      <c r="N22" s="949"/>
      <c r="O22" s="968" t="s">
        <v>626</v>
      </c>
      <c r="P22" s="969"/>
      <c r="Q22" s="944"/>
      <c r="R22" s="939"/>
      <c r="S22" s="940"/>
      <c r="T22" s="939"/>
      <c r="U22" s="940"/>
      <c r="V22" s="92"/>
      <c r="W22" s="92"/>
    </row>
    <row r="23" spans="1:23" s="12" customFormat="1" ht="21" customHeight="1" x14ac:dyDescent="0.2">
      <c r="A23" s="944"/>
      <c r="B23" s="944"/>
      <c r="C23" s="944"/>
      <c r="D23" s="944"/>
      <c r="E23" s="944"/>
      <c r="F23" s="941"/>
      <c r="G23" s="942"/>
      <c r="H23" s="941"/>
      <c r="I23" s="942"/>
      <c r="J23" s="941"/>
      <c r="K23" s="942"/>
      <c r="L23" s="950" t="s">
        <v>161</v>
      </c>
      <c r="M23" s="975" t="s">
        <v>247</v>
      </c>
      <c r="N23" s="949"/>
      <c r="O23" s="941"/>
      <c r="P23" s="942"/>
      <c r="Q23" s="946"/>
      <c r="R23" s="941"/>
      <c r="S23" s="942"/>
      <c r="T23" s="941"/>
      <c r="U23" s="942"/>
      <c r="V23" s="92"/>
      <c r="W23" s="92"/>
    </row>
    <row r="24" spans="1:23" s="12" customFormat="1" ht="21.75" x14ac:dyDescent="0.2">
      <c r="A24" s="946"/>
      <c r="B24" s="946"/>
      <c r="C24" s="946"/>
      <c r="D24" s="946"/>
      <c r="E24" s="946"/>
      <c r="F24" s="122" t="s">
        <v>161</v>
      </c>
      <c r="G24" s="123" t="s">
        <v>162</v>
      </c>
      <c r="H24" s="15" t="s">
        <v>161</v>
      </c>
      <c r="I24" s="16" t="s">
        <v>162</v>
      </c>
      <c r="J24" s="122" t="s">
        <v>161</v>
      </c>
      <c r="K24" s="123" t="s">
        <v>162</v>
      </c>
      <c r="L24" s="1119"/>
      <c r="M24" s="154" t="s">
        <v>161</v>
      </c>
      <c r="N24" s="125" t="s">
        <v>162</v>
      </c>
      <c r="O24" s="154" t="s">
        <v>161</v>
      </c>
      <c r="P24" s="125" t="s">
        <v>162</v>
      </c>
      <c r="Q24" s="16" t="s">
        <v>162</v>
      </c>
      <c r="R24" s="15" t="s">
        <v>161</v>
      </c>
      <c r="S24" s="16" t="s">
        <v>162</v>
      </c>
      <c r="T24" s="77" t="s">
        <v>161</v>
      </c>
      <c r="U24" s="78" t="s">
        <v>162</v>
      </c>
      <c r="V24" s="92"/>
      <c r="W24" s="92"/>
    </row>
    <row r="25" spans="1:23" s="12" customFormat="1" ht="33.6" customHeight="1" x14ac:dyDescent="0.2">
      <c r="A25" s="316" t="s">
        <v>55</v>
      </c>
      <c r="B25" s="414" t="s">
        <v>533</v>
      </c>
      <c r="C25" s="427">
        <v>18361</v>
      </c>
      <c r="D25" s="475">
        <v>149994.57999999999</v>
      </c>
      <c r="E25" s="469">
        <v>43404.999988425923</v>
      </c>
      <c r="F25" s="418">
        <v>1</v>
      </c>
      <c r="G25" s="418">
        <v>150000</v>
      </c>
      <c r="H25" s="418">
        <v>0</v>
      </c>
      <c r="I25" s="418">
        <v>0</v>
      </c>
      <c r="J25" s="418">
        <v>1</v>
      </c>
      <c r="K25" s="418">
        <v>149994.57999999999</v>
      </c>
      <c r="L25" s="418">
        <v>1</v>
      </c>
      <c r="M25" s="418">
        <v>1</v>
      </c>
      <c r="N25" s="418">
        <v>149994.57999999999</v>
      </c>
      <c r="O25" s="418">
        <v>0</v>
      </c>
      <c r="P25" s="418">
        <v>0</v>
      </c>
      <c r="Q25" s="418">
        <f t="shared" ref="Q25:Q32" si="3">K25-N25</f>
        <v>0</v>
      </c>
      <c r="R25" s="418">
        <v>1</v>
      </c>
      <c r="S25" s="418">
        <v>135710.07</v>
      </c>
      <c r="T25" s="418">
        <v>0</v>
      </c>
      <c r="U25" s="418">
        <v>0</v>
      </c>
    </row>
    <row r="26" spans="1:23" s="12" customFormat="1" ht="22.9" customHeight="1" x14ac:dyDescent="0.2">
      <c r="A26" s="316" t="s">
        <v>63</v>
      </c>
      <c r="B26" s="426" t="s">
        <v>488</v>
      </c>
      <c r="C26" s="146">
        <v>21055</v>
      </c>
      <c r="D26" s="475">
        <v>0</v>
      </c>
      <c r="E26" s="469">
        <v>43539.999988425923</v>
      </c>
      <c r="F26" s="418">
        <v>1</v>
      </c>
      <c r="G26" s="420">
        <v>250000</v>
      </c>
      <c r="H26" s="418">
        <v>0</v>
      </c>
      <c r="I26" s="418">
        <v>0</v>
      </c>
      <c r="J26" s="418">
        <v>0</v>
      </c>
      <c r="K26" s="418">
        <v>0</v>
      </c>
      <c r="L26" s="418">
        <v>0</v>
      </c>
      <c r="M26" s="418">
        <v>0</v>
      </c>
      <c r="N26" s="418">
        <v>0</v>
      </c>
      <c r="O26" s="418">
        <v>1</v>
      </c>
      <c r="P26" s="418">
        <v>238991.37</v>
      </c>
      <c r="Q26" s="418">
        <f t="shared" si="3"/>
        <v>0</v>
      </c>
      <c r="R26" s="418">
        <v>0</v>
      </c>
      <c r="S26" s="418">
        <v>0</v>
      </c>
      <c r="T26" s="418">
        <v>0</v>
      </c>
      <c r="U26" s="418">
        <v>0</v>
      </c>
    </row>
    <row r="27" spans="1:23" s="12" customFormat="1" ht="29.45" customHeight="1" x14ac:dyDescent="0.2">
      <c r="A27" s="316" t="s">
        <v>236</v>
      </c>
      <c r="B27" s="426" t="s">
        <v>532</v>
      </c>
      <c r="C27" s="146">
        <v>29682</v>
      </c>
      <c r="D27" s="475">
        <v>720000</v>
      </c>
      <c r="E27" s="469">
        <v>43651.999988425923</v>
      </c>
      <c r="F27" s="418">
        <v>18</v>
      </c>
      <c r="G27" s="418">
        <v>1375745.6</v>
      </c>
      <c r="H27" s="418">
        <v>0</v>
      </c>
      <c r="I27" s="418">
        <v>0</v>
      </c>
      <c r="J27" s="418">
        <v>17</v>
      </c>
      <c r="K27" s="420">
        <v>1255955.5900000001</v>
      </c>
      <c r="L27" s="418">
        <v>6</v>
      </c>
      <c r="M27" s="418">
        <v>6</v>
      </c>
      <c r="N27" s="418">
        <f>652587.16-44000</f>
        <v>608587.16</v>
      </c>
      <c r="O27" s="418">
        <v>2</v>
      </c>
      <c r="P27" s="418">
        <f>119790.01+44000</f>
        <v>163790.01</v>
      </c>
      <c r="Q27" s="418">
        <f t="shared" si="3"/>
        <v>647368.43000000005</v>
      </c>
      <c r="R27" s="418">
        <v>10</v>
      </c>
      <c r="S27" s="418">
        <v>533117.37</v>
      </c>
      <c r="T27" s="418">
        <v>5</v>
      </c>
      <c r="U27" s="418">
        <v>258791.15000000002</v>
      </c>
    </row>
    <row r="28" spans="1:23" s="12" customFormat="1" ht="16.899999999999999" customHeight="1" x14ac:dyDescent="0.2">
      <c r="A28" s="137" t="s">
        <v>63</v>
      </c>
      <c r="B28" s="426" t="s">
        <v>368</v>
      </c>
      <c r="C28" s="146">
        <v>40126</v>
      </c>
      <c r="D28" s="413">
        <v>450000</v>
      </c>
      <c r="E28" s="469">
        <v>44592</v>
      </c>
      <c r="F28" s="418">
        <v>0</v>
      </c>
      <c r="G28" s="418">
        <v>0</v>
      </c>
      <c r="H28" s="418">
        <v>0</v>
      </c>
      <c r="I28" s="418">
        <v>0</v>
      </c>
      <c r="J28" s="418">
        <v>0</v>
      </c>
      <c r="K28" s="420">
        <v>0</v>
      </c>
      <c r="L28" s="418">
        <v>0</v>
      </c>
      <c r="M28" s="418">
        <v>0</v>
      </c>
      <c r="N28" s="418">
        <v>0</v>
      </c>
      <c r="O28" s="418">
        <v>0</v>
      </c>
      <c r="P28" s="418">
        <v>0</v>
      </c>
      <c r="Q28" s="418">
        <f t="shared" si="3"/>
        <v>0</v>
      </c>
      <c r="R28" s="418">
        <v>0</v>
      </c>
      <c r="S28" s="418">
        <v>0</v>
      </c>
      <c r="T28" s="418">
        <v>0</v>
      </c>
      <c r="U28" s="418">
        <v>0</v>
      </c>
    </row>
    <row r="29" spans="1:23" s="12" customFormat="1" ht="33.75" x14ac:dyDescent="0.2">
      <c r="A29" s="137" t="s">
        <v>275</v>
      </c>
      <c r="B29" s="426" t="s">
        <v>371</v>
      </c>
      <c r="C29" s="146">
        <v>40125</v>
      </c>
      <c r="D29" s="472">
        <v>115610.76</v>
      </c>
      <c r="E29" s="469">
        <v>44043</v>
      </c>
      <c r="F29" s="418">
        <v>7</v>
      </c>
      <c r="G29" s="418">
        <v>296768</v>
      </c>
      <c r="H29" s="418">
        <v>0</v>
      </c>
      <c r="I29" s="418">
        <v>0</v>
      </c>
      <c r="J29" s="418">
        <v>3</v>
      </c>
      <c r="K29" s="472">
        <v>148500</v>
      </c>
      <c r="L29" s="418">
        <v>3</v>
      </c>
      <c r="M29" s="418">
        <v>3</v>
      </c>
      <c r="N29" s="472">
        <v>148500</v>
      </c>
      <c r="O29" s="418">
        <v>4</v>
      </c>
      <c r="P29" s="418">
        <f>97468+49333.86</f>
        <v>146801.85999999999</v>
      </c>
      <c r="Q29" s="418">
        <f t="shared" si="3"/>
        <v>0</v>
      </c>
      <c r="R29" s="418">
        <v>1</v>
      </c>
      <c r="S29" s="418">
        <v>49800</v>
      </c>
      <c r="T29" s="418">
        <v>0</v>
      </c>
      <c r="U29" s="418">
        <v>0</v>
      </c>
    </row>
    <row r="30" spans="1:23" s="12" customFormat="1" ht="33" customHeight="1" x14ac:dyDescent="0.2">
      <c r="A30" s="333" t="s">
        <v>236</v>
      </c>
      <c r="B30" s="426" t="s">
        <v>532</v>
      </c>
      <c r="C30" s="427">
        <v>78023</v>
      </c>
      <c r="D30" s="472">
        <v>554324.4</v>
      </c>
      <c r="E30" s="442">
        <v>45350</v>
      </c>
      <c r="F30" s="418">
        <v>13</v>
      </c>
      <c r="G30" s="418">
        <v>742183.83000000007</v>
      </c>
      <c r="H30" s="418">
        <v>2</v>
      </c>
      <c r="I30" s="418">
        <v>105420.94</v>
      </c>
      <c r="J30" s="342">
        <v>6</v>
      </c>
      <c r="K30" s="493">
        <v>259153.73</v>
      </c>
      <c r="L30" s="342">
        <v>6</v>
      </c>
      <c r="M30" s="342">
        <v>6</v>
      </c>
      <c r="N30" s="493">
        <v>259153.73</v>
      </c>
      <c r="O30" s="342">
        <v>5</v>
      </c>
      <c r="P30" s="342">
        <v>377609.16</v>
      </c>
      <c r="Q30" s="418">
        <f t="shared" si="3"/>
        <v>0</v>
      </c>
      <c r="R30" s="418">
        <v>2</v>
      </c>
      <c r="S30" s="418">
        <v>58046.649999999994</v>
      </c>
      <c r="T30" s="418">
        <v>1</v>
      </c>
      <c r="U30" s="418">
        <v>43993.599999999999</v>
      </c>
    </row>
    <row r="31" spans="1:23" s="12" customFormat="1" ht="16.899999999999999" customHeight="1" x14ac:dyDescent="0.2">
      <c r="A31" s="333" t="s">
        <v>63</v>
      </c>
      <c r="B31" s="426" t="s">
        <v>369</v>
      </c>
      <c r="C31" s="427">
        <v>78041</v>
      </c>
      <c r="D31" s="472">
        <v>0</v>
      </c>
      <c r="E31" s="442">
        <v>45350</v>
      </c>
      <c r="F31" s="418">
        <v>1</v>
      </c>
      <c r="G31" s="418">
        <v>250000</v>
      </c>
      <c r="H31" s="418">
        <v>0</v>
      </c>
      <c r="I31" s="418">
        <v>0</v>
      </c>
      <c r="J31" s="418">
        <v>0</v>
      </c>
      <c r="K31" s="418">
        <v>0</v>
      </c>
      <c r="L31" s="418">
        <v>0</v>
      </c>
      <c r="M31" s="418">
        <v>0</v>
      </c>
      <c r="N31" s="418">
        <v>0</v>
      </c>
      <c r="O31" s="418">
        <v>1</v>
      </c>
      <c r="P31" s="418">
        <v>250000</v>
      </c>
      <c r="Q31" s="418">
        <f t="shared" si="3"/>
        <v>0</v>
      </c>
      <c r="R31" s="418">
        <v>0</v>
      </c>
      <c r="S31" s="418">
        <v>0</v>
      </c>
      <c r="T31" s="418">
        <v>0</v>
      </c>
      <c r="U31" s="418">
        <v>0</v>
      </c>
    </row>
    <row r="32" spans="1:23" s="12" customFormat="1" ht="63.6" customHeight="1" x14ac:dyDescent="0.2">
      <c r="A32" s="333" t="s">
        <v>245</v>
      </c>
      <c r="B32" s="414" t="s">
        <v>628</v>
      </c>
      <c r="C32" s="427">
        <v>80246</v>
      </c>
      <c r="D32" s="472">
        <v>1337160</v>
      </c>
      <c r="E32" s="442">
        <v>45453</v>
      </c>
      <c r="F32" s="418">
        <v>9</v>
      </c>
      <c r="G32" s="418">
        <v>1761471.1800000002</v>
      </c>
      <c r="H32" s="418">
        <v>0</v>
      </c>
      <c r="I32" s="418">
        <v>0</v>
      </c>
      <c r="J32" s="418">
        <v>8</v>
      </c>
      <c r="K32" s="418">
        <v>1558345.49</v>
      </c>
      <c r="L32" s="418">
        <v>8</v>
      </c>
      <c r="M32" s="418">
        <v>8</v>
      </c>
      <c r="N32" s="418">
        <v>1558345.49</v>
      </c>
      <c r="O32" s="418">
        <v>1</v>
      </c>
      <c r="P32" s="418">
        <v>200000.27</v>
      </c>
      <c r="Q32" s="418">
        <f t="shared" si="3"/>
        <v>0</v>
      </c>
      <c r="R32" s="418">
        <v>2</v>
      </c>
      <c r="S32" s="418">
        <v>363402.56999999995</v>
      </c>
      <c r="T32" s="418">
        <v>0</v>
      </c>
      <c r="U32" s="418">
        <v>0</v>
      </c>
    </row>
    <row r="33" spans="1:22" s="92" customFormat="1" ht="63.6" customHeight="1" x14ac:dyDescent="0.2">
      <c r="A33" s="363" t="s">
        <v>273</v>
      </c>
      <c r="B33" s="358" t="s">
        <v>715</v>
      </c>
      <c r="C33" s="356">
        <v>87722</v>
      </c>
      <c r="D33" s="18">
        <v>493220.1</v>
      </c>
      <c r="E33" s="343">
        <v>45866</v>
      </c>
      <c r="F33" s="342">
        <v>10</v>
      </c>
      <c r="G33" s="342">
        <v>488697.8</v>
      </c>
      <c r="H33" s="342">
        <v>0</v>
      </c>
      <c r="I33" s="342">
        <v>0</v>
      </c>
      <c r="J33" s="342">
        <v>10</v>
      </c>
      <c r="K33" s="342">
        <v>488697.8</v>
      </c>
      <c r="L33" s="342">
        <v>10</v>
      </c>
      <c r="M33" s="342">
        <v>10</v>
      </c>
      <c r="N33" s="342">
        <v>488697.8</v>
      </c>
      <c r="O33" s="342">
        <v>0</v>
      </c>
      <c r="P33" s="342">
        <v>0</v>
      </c>
      <c r="Q33" s="342">
        <f t="shared" ref="Q33" si="4">K33-N33</f>
        <v>0</v>
      </c>
      <c r="R33" s="342">
        <v>1</v>
      </c>
      <c r="S33" s="342">
        <v>50000</v>
      </c>
      <c r="T33" s="342">
        <v>0</v>
      </c>
      <c r="U33" s="342">
        <v>0</v>
      </c>
    </row>
    <row r="34" spans="1:22" s="12" customFormat="1" ht="11.25" x14ac:dyDescent="0.2">
      <c r="A34" s="19" t="s">
        <v>1</v>
      </c>
      <c r="B34" s="19"/>
      <c r="C34" s="59"/>
      <c r="D34" s="20">
        <f>SUM(D25:D33)</f>
        <v>3820309.8400000003</v>
      </c>
      <c r="E34" s="20"/>
      <c r="F34" s="20">
        <f t="shared" ref="F34:U34" si="5">SUM(F25:F33)</f>
        <v>60</v>
      </c>
      <c r="G34" s="20">
        <f t="shared" si="5"/>
        <v>5314866.41</v>
      </c>
      <c r="H34" s="20">
        <f t="shared" si="5"/>
        <v>2</v>
      </c>
      <c r="I34" s="20">
        <f t="shared" si="5"/>
        <v>105420.94</v>
      </c>
      <c r="J34" s="20">
        <f t="shared" si="5"/>
        <v>45</v>
      </c>
      <c r="K34" s="20">
        <f t="shared" si="5"/>
        <v>3860647.19</v>
      </c>
      <c r="L34" s="20">
        <f t="shared" si="5"/>
        <v>34</v>
      </c>
      <c r="M34" s="20">
        <f t="shared" si="5"/>
        <v>34</v>
      </c>
      <c r="N34" s="20">
        <f t="shared" si="5"/>
        <v>3213278.76</v>
      </c>
      <c r="O34" s="20">
        <f t="shared" si="5"/>
        <v>14</v>
      </c>
      <c r="P34" s="20">
        <f t="shared" si="5"/>
        <v>1377192.67</v>
      </c>
      <c r="Q34" s="20">
        <f t="shared" si="5"/>
        <v>647368.43000000005</v>
      </c>
      <c r="R34" s="20">
        <f t="shared" si="5"/>
        <v>17</v>
      </c>
      <c r="S34" s="20">
        <f t="shared" si="5"/>
        <v>1190076.6599999999</v>
      </c>
      <c r="T34" s="20">
        <f t="shared" si="5"/>
        <v>6</v>
      </c>
      <c r="U34" s="20">
        <f t="shared" si="5"/>
        <v>302784.75</v>
      </c>
    </row>
    <row r="35" spans="1:22" ht="15" customHeight="1" x14ac:dyDescent="0.25">
      <c r="A35" s="210" t="s">
        <v>390</v>
      </c>
      <c r="B35" s="134"/>
      <c r="C35" s="134"/>
      <c r="D35" s="134"/>
      <c r="E35" s="134"/>
      <c r="F35" s="134"/>
      <c r="G35" s="134"/>
      <c r="H35" s="134"/>
      <c r="I35" s="134"/>
      <c r="J35" s="134"/>
      <c r="K35" s="134"/>
      <c r="L35" s="134"/>
      <c r="M35" s="134"/>
      <c r="N35" s="134"/>
      <c r="O35" s="134"/>
      <c r="P35" s="134"/>
      <c r="Q35" s="134"/>
      <c r="R35" s="134"/>
    </row>
    <row r="36" spans="1:22" s="23" customFormat="1" ht="21" customHeight="1" x14ac:dyDescent="0.25">
      <c r="A36" s="1124" t="s">
        <v>744</v>
      </c>
      <c r="B36" s="1124"/>
      <c r="C36" s="1124"/>
      <c r="D36" s="1124"/>
      <c r="E36" s="1124"/>
      <c r="F36" s="1124"/>
      <c r="G36" s="1124"/>
      <c r="H36" s="1124"/>
      <c r="I36" s="1124"/>
      <c r="J36" s="1124"/>
      <c r="K36" s="1124"/>
      <c r="L36" s="1124"/>
      <c r="M36" s="1124"/>
      <c r="N36" s="1124"/>
      <c r="O36" s="1124"/>
      <c r="P36" s="1124"/>
      <c r="Q36" s="1124"/>
      <c r="R36" s="1124"/>
      <c r="S36" s="1124"/>
      <c r="T36" s="1124"/>
      <c r="U36" s="1124"/>
      <c r="V36" s="87"/>
    </row>
    <row r="39" spans="1:22" x14ac:dyDescent="0.25">
      <c r="K39" s="50"/>
    </row>
  </sheetData>
  <mergeCells count="36">
    <mergeCell ref="E21:E24"/>
    <mergeCell ref="B21:B24"/>
    <mergeCell ref="T21:U23"/>
    <mergeCell ref="L22:N22"/>
    <mergeCell ref="O22:P23"/>
    <mergeCell ref="L23:L24"/>
    <mergeCell ref="C21:C24"/>
    <mergeCell ref="M23:N23"/>
    <mergeCell ref="J21:K23"/>
    <mergeCell ref="F21:G23"/>
    <mergeCell ref="D21:D24"/>
    <mergeCell ref="H21:I23"/>
    <mergeCell ref="Q21:Q23"/>
    <mergeCell ref="R21:S23"/>
    <mergeCell ref="O3:P4"/>
    <mergeCell ref="M4:N4"/>
    <mergeCell ref="L4:L5"/>
    <mergeCell ref="A19:U19"/>
    <mergeCell ref="H2:I4"/>
    <mergeCell ref="T2:U4"/>
    <mergeCell ref="A36:U36"/>
    <mergeCell ref="A1:U1"/>
    <mergeCell ref="A2:A5"/>
    <mergeCell ref="B2:B5"/>
    <mergeCell ref="D2:D5"/>
    <mergeCell ref="E2:E5"/>
    <mergeCell ref="F2:G4"/>
    <mergeCell ref="J2:K4"/>
    <mergeCell ref="L2:P2"/>
    <mergeCell ref="Q2:Q4"/>
    <mergeCell ref="R2:S4"/>
    <mergeCell ref="C2:C5"/>
    <mergeCell ref="A21:A24"/>
    <mergeCell ref="B20:U20"/>
    <mergeCell ref="L21:P21"/>
    <mergeCell ref="L3:N3"/>
  </mergeCells>
  <printOptions horizontalCentered="1"/>
  <pageMargins left="0.70866141732283472" right="0.70866141732283472" top="0.74803149606299213" bottom="0.74803149606299213" header="0.31496062992125984" footer="0.31496062992125984"/>
  <pageSetup paperSize="9" scale="64" orientation="landscape" r:id="rId1"/>
  <rowBreaks count="1" manualBreakCount="1">
    <brk id="19" max="22"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A42"/>
  <sheetViews>
    <sheetView view="pageBreakPreview" topLeftCell="C23" zoomScaleNormal="100" zoomScaleSheetLayoutView="100" workbookViewId="0">
      <selection activeCell="R32" sqref="R32:S32"/>
    </sheetView>
  </sheetViews>
  <sheetFormatPr defaultColWidth="9.140625" defaultRowHeight="11.25" x14ac:dyDescent="0.2"/>
  <cols>
    <col min="1" max="1" width="6.28515625" style="12" customWidth="1"/>
    <col min="2" max="2" width="25.85546875" style="12" customWidth="1"/>
    <col min="3" max="3" width="6.42578125" style="12" customWidth="1"/>
    <col min="4" max="4" width="10.42578125" style="12" customWidth="1"/>
    <col min="5" max="5" width="11.7109375" style="12" customWidth="1"/>
    <col min="6" max="6" width="3.85546875" style="12" customWidth="1"/>
    <col min="7" max="7" width="10" style="12" customWidth="1"/>
    <col min="8" max="8" width="3.140625" style="12" bestFit="1" customWidth="1"/>
    <col min="9" max="9" width="6.85546875" style="12" customWidth="1"/>
    <col min="10" max="10" width="3.140625" style="12" bestFit="1" customWidth="1"/>
    <col min="11" max="11" width="9.85546875" style="12" customWidth="1"/>
    <col min="12" max="12" width="3.140625" style="12" bestFit="1" customWidth="1"/>
    <col min="13" max="13" width="3" style="12" customWidth="1"/>
    <col min="14" max="14" width="7.42578125" style="12" customWidth="1"/>
    <col min="15" max="15" width="3.140625" style="12" bestFit="1" customWidth="1"/>
    <col min="16" max="16" width="7.42578125" style="12" customWidth="1"/>
    <col min="17" max="17" width="8" style="12" customWidth="1"/>
    <col min="18" max="18" width="3.140625" style="12" bestFit="1" customWidth="1"/>
    <col min="19" max="19" width="7.42578125" style="12" customWidth="1"/>
    <col min="20" max="20" width="3.140625" style="12" bestFit="1" customWidth="1"/>
    <col min="21" max="21" width="7.85546875" style="12" bestFit="1" customWidth="1"/>
    <col min="22" max="23" width="9.140625" style="92"/>
    <col min="24" max="24" width="9.140625" style="12"/>
    <col min="25" max="27" width="9.28515625" style="12" bestFit="1" customWidth="1"/>
    <col min="28" max="28" width="10" style="12" bestFit="1" customWidth="1"/>
    <col min="29" max="16384" width="9.140625" style="12"/>
  </cols>
  <sheetData>
    <row r="1" spans="1:23" ht="13.9" customHeight="1" x14ac:dyDescent="0.2">
      <c r="A1" s="1125" t="s">
        <v>649</v>
      </c>
      <c r="B1" s="1125"/>
      <c r="C1" s="1126"/>
      <c r="D1" s="1125"/>
      <c r="E1" s="1125"/>
      <c r="F1" s="1125"/>
      <c r="G1" s="1125"/>
      <c r="H1" s="1126"/>
      <c r="I1" s="1126"/>
      <c r="J1" s="1125"/>
      <c r="K1" s="1125"/>
      <c r="L1" s="1125"/>
      <c r="M1" s="1125"/>
      <c r="N1" s="1125"/>
      <c r="O1" s="1125"/>
      <c r="P1" s="1125"/>
      <c r="Q1" s="1125"/>
      <c r="R1" s="1125"/>
      <c r="S1" s="1125"/>
      <c r="T1" s="1125"/>
      <c r="U1" s="1125"/>
    </row>
    <row r="2" spans="1:23"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row>
    <row r="3" spans="1:23"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row>
    <row r="4" spans="1:23"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row>
    <row r="5" spans="1:23" ht="21.75"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row>
    <row r="6" spans="1:23" ht="28.15" customHeight="1" x14ac:dyDescent="0.2">
      <c r="A6" s="316" t="s">
        <v>63</v>
      </c>
      <c r="B6" s="414" t="s">
        <v>268</v>
      </c>
      <c r="C6" s="333">
        <v>39641</v>
      </c>
      <c r="D6" s="468">
        <v>248381.12</v>
      </c>
      <c r="E6" s="474">
        <v>44119</v>
      </c>
      <c r="F6" s="418">
        <v>2</v>
      </c>
      <c r="G6" s="418">
        <v>157950</v>
      </c>
      <c r="H6" s="418">
        <v>0</v>
      </c>
      <c r="I6" s="418">
        <v>0</v>
      </c>
      <c r="J6" s="418">
        <v>1</v>
      </c>
      <c r="K6" s="418">
        <v>81000</v>
      </c>
      <c r="L6" s="418">
        <v>1</v>
      </c>
      <c r="M6" s="418">
        <v>1</v>
      </c>
      <c r="N6" s="418">
        <v>81000</v>
      </c>
      <c r="O6" s="418">
        <v>1</v>
      </c>
      <c r="P6" s="418">
        <v>76950</v>
      </c>
      <c r="Q6" s="418">
        <f>K6-N6</f>
        <v>0</v>
      </c>
      <c r="R6" s="418">
        <v>1</v>
      </c>
      <c r="S6" s="418">
        <v>73489.490000000005</v>
      </c>
      <c r="T6" s="418">
        <v>0</v>
      </c>
      <c r="U6" s="418">
        <v>0</v>
      </c>
      <c r="V6" s="12"/>
      <c r="W6" s="12"/>
    </row>
    <row r="7" spans="1:23" ht="25.9" customHeight="1" x14ac:dyDescent="0.2">
      <c r="A7" s="316" t="s">
        <v>63</v>
      </c>
      <c r="B7" s="414" t="s">
        <v>440</v>
      </c>
      <c r="C7" s="333">
        <v>39601</v>
      </c>
      <c r="D7" s="468">
        <v>157950</v>
      </c>
      <c r="E7" s="474">
        <v>44119</v>
      </c>
      <c r="F7" s="418">
        <v>2</v>
      </c>
      <c r="G7" s="418">
        <v>157950</v>
      </c>
      <c r="H7" s="418">
        <v>0</v>
      </c>
      <c r="I7" s="418">
        <v>0</v>
      </c>
      <c r="J7" s="418">
        <v>2</v>
      </c>
      <c r="K7" s="418">
        <v>157950</v>
      </c>
      <c r="L7" s="418">
        <v>2</v>
      </c>
      <c r="M7" s="418">
        <v>2</v>
      </c>
      <c r="N7" s="418">
        <v>157950</v>
      </c>
      <c r="O7" s="418">
        <v>0</v>
      </c>
      <c r="P7" s="418">
        <v>0</v>
      </c>
      <c r="Q7" s="418">
        <f t="shared" ref="Q7:Q20" si="0">K7-N7</f>
        <v>0</v>
      </c>
      <c r="R7" s="418">
        <v>2</v>
      </c>
      <c r="S7" s="418">
        <v>101832.52</v>
      </c>
      <c r="T7" s="418">
        <v>0</v>
      </c>
      <c r="U7" s="418">
        <v>0</v>
      </c>
      <c r="V7" s="12"/>
      <c r="W7" s="12"/>
    </row>
    <row r="8" spans="1:23" ht="18" customHeight="1" x14ac:dyDescent="0.2">
      <c r="A8" s="316" t="s">
        <v>538</v>
      </c>
      <c r="B8" s="414" t="s">
        <v>439</v>
      </c>
      <c r="C8" s="333">
        <v>40143</v>
      </c>
      <c r="D8" s="468">
        <v>85748.03</v>
      </c>
      <c r="E8" s="474">
        <v>44119</v>
      </c>
      <c r="F8" s="418">
        <v>2</v>
      </c>
      <c r="G8" s="418">
        <v>85748.03</v>
      </c>
      <c r="H8" s="418">
        <v>0</v>
      </c>
      <c r="I8" s="418">
        <v>0</v>
      </c>
      <c r="J8" s="418">
        <v>1</v>
      </c>
      <c r="K8" s="418">
        <v>35748.020000000004</v>
      </c>
      <c r="L8" s="418">
        <v>1</v>
      </c>
      <c r="M8" s="418">
        <v>1</v>
      </c>
      <c r="N8" s="418">
        <v>35748.020000000004</v>
      </c>
      <c r="O8" s="418">
        <v>1</v>
      </c>
      <c r="P8" s="418">
        <v>50000</v>
      </c>
      <c r="Q8" s="418">
        <f t="shared" si="0"/>
        <v>0</v>
      </c>
      <c r="R8" s="418">
        <v>1</v>
      </c>
      <c r="S8" s="418">
        <v>35645.83</v>
      </c>
      <c r="T8" s="418">
        <v>0</v>
      </c>
      <c r="U8" s="418">
        <v>0</v>
      </c>
      <c r="V8" s="12"/>
      <c r="W8" s="12"/>
    </row>
    <row r="9" spans="1:23" ht="33.75" x14ac:dyDescent="0.2">
      <c r="A9" s="316" t="s">
        <v>538</v>
      </c>
      <c r="B9" s="414" t="s">
        <v>269</v>
      </c>
      <c r="C9" s="333">
        <v>40083</v>
      </c>
      <c r="D9" s="468">
        <v>77677.02</v>
      </c>
      <c r="E9" s="474">
        <v>44119</v>
      </c>
      <c r="F9" s="418">
        <v>4</v>
      </c>
      <c r="G9" s="418">
        <v>150577.02000000002</v>
      </c>
      <c r="H9" s="418">
        <v>1</v>
      </c>
      <c r="I9" s="418">
        <v>61000</v>
      </c>
      <c r="J9" s="418">
        <v>1</v>
      </c>
      <c r="K9" s="418">
        <v>12346.92</v>
      </c>
      <c r="L9" s="418">
        <v>1</v>
      </c>
      <c r="M9" s="418">
        <v>1</v>
      </c>
      <c r="N9" s="418">
        <v>12346.92</v>
      </c>
      <c r="O9" s="418">
        <v>2</v>
      </c>
      <c r="P9" s="418">
        <v>72900</v>
      </c>
      <c r="Q9" s="418">
        <f t="shared" si="0"/>
        <v>0</v>
      </c>
      <c r="R9" s="418">
        <v>1</v>
      </c>
      <c r="S9" s="418">
        <v>12346.92</v>
      </c>
      <c r="T9" s="418">
        <v>1</v>
      </c>
      <c r="U9" s="418">
        <v>12346.92</v>
      </c>
      <c r="V9" s="12"/>
      <c r="W9" s="12"/>
    </row>
    <row r="10" spans="1:23" ht="24.6" customHeight="1" x14ac:dyDescent="0.2">
      <c r="A10" s="316" t="s">
        <v>539</v>
      </c>
      <c r="B10" s="414" t="s">
        <v>270</v>
      </c>
      <c r="C10" s="333">
        <v>39986</v>
      </c>
      <c r="D10" s="468">
        <v>177106.18</v>
      </c>
      <c r="E10" s="474">
        <v>44119</v>
      </c>
      <c r="F10" s="418">
        <v>4</v>
      </c>
      <c r="G10" s="418">
        <v>177147.99</v>
      </c>
      <c r="H10" s="418">
        <v>1</v>
      </c>
      <c r="I10" s="418">
        <v>62000</v>
      </c>
      <c r="J10" s="418">
        <v>3</v>
      </c>
      <c r="K10" s="418">
        <v>115106.18</v>
      </c>
      <c r="L10" s="418">
        <v>3</v>
      </c>
      <c r="M10" s="418">
        <v>3</v>
      </c>
      <c r="N10" s="418">
        <v>115106.18</v>
      </c>
      <c r="O10" s="418">
        <v>0</v>
      </c>
      <c r="P10" s="418">
        <v>0</v>
      </c>
      <c r="Q10" s="418">
        <f t="shared" si="0"/>
        <v>0</v>
      </c>
      <c r="R10" s="418">
        <v>8</v>
      </c>
      <c r="S10" s="418">
        <v>106042.82</v>
      </c>
      <c r="T10" s="418">
        <v>8</v>
      </c>
      <c r="U10" s="418">
        <v>105663.42000000001</v>
      </c>
      <c r="V10" s="12"/>
      <c r="W10" s="12"/>
    </row>
    <row r="11" spans="1:23" ht="27" customHeight="1" x14ac:dyDescent="0.2">
      <c r="A11" s="316" t="s">
        <v>538</v>
      </c>
      <c r="B11" s="414" t="s">
        <v>271</v>
      </c>
      <c r="C11" s="333">
        <v>40301</v>
      </c>
      <c r="D11" s="468">
        <v>50900</v>
      </c>
      <c r="E11" s="474">
        <v>44119</v>
      </c>
      <c r="F11" s="418">
        <v>1</v>
      </c>
      <c r="G11" s="418">
        <v>50900</v>
      </c>
      <c r="H11" s="418">
        <v>0</v>
      </c>
      <c r="I11" s="418">
        <v>0</v>
      </c>
      <c r="J11" s="418">
        <v>1</v>
      </c>
      <c r="K11" s="418">
        <v>50900</v>
      </c>
      <c r="L11" s="418">
        <v>1</v>
      </c>
      <c r="M11" s="418">
        <v>1</v>
      </c>
      <c r="N11" s="418">
        <v>50900</v>
      </c>
      <c r="O11" s="418">
        <v>0</v>
      </c>
      <c r="P11" s="418">
        <v>0</v>
      </c>
      <c r="Q11" s="418">
        <f t="shared" si="0"/>
        <v>0</v>
      </c>
      <c r="R11" s="418">
        <v>1</v>
      </c>
      <c r="S11" s="418">
        <v>25450</v>
      </c>
      <c r="T11" s="418">
        <v>1</v>
      </c>
      <c r="U11" s="418">
        <v>25450</v>
      </c>
      <c r="V11" s="12"/>
      <c r="W11" s="12"/>
    </row>
    <row r="12" spans="1:23" ht="33.75" x14ac:dyDescent="0.2">
      <c r="A12" s="316" t="s">
        <v>242</v>
      </c>
      <c r="B12" s="414" t="s">
        <v>441</v>
      </c>
      <c r="C12" s="333">
        <v>42462</v>
      </c>
      <c r="D12" s="468">
        <v>210000</v>
      </c>
      <c r="E12" s="474">
        <v>44119</v>
      </c>
      <c r="F12" s="418">
        <v>5</v>
      </c>
      <c r="G12" s="418">
        <v>210000</v>
      </c>
      <c r="H12" s="418">
        <v>0</v>
      </c>
      <c r="I12" s="418">
        <v>0</v>
      </c>
      <c r="J12" s="418">
        <v>5</v>
      </c>
      <c r="K12" s="470">
        <v>210000</v>
      </c>
      <c r="L12" s="418">
        <v>5</v>
      </c>
      <c r="M12" s="418">
        <v>5</v>
      </c>
      <c r="N12" s="418">
        <v>210000</v>
      </c>
      <c r="O12" s="418">
        <v>0</v>
      </c>
      <c r="P12" s="418">
        <v>0</v>
      </c>
      <c r="Q12" s="418">
        <f t="shared" si="0"/>
        <v>0</v>
      </c>
      <c r="R12" s="418">
        <v>10</v>
      </c>
      <c r="S12" s="418">
        <v>210000</v>
      </c>
      <c r="T12" s="418">
        <v>10</v>
      </c>
      <c r="U12" s="418">
        <v>210000</v>
      </c>
      <c r="V12" s="12"/>
      <c r="W12" s="12"/>
    </row>
    <row r="13" spans="1:23" ht="33.75" x14ac:dyDescent="0.2">
      <c r="A13" s="316" t="s">
        <v>242</v>
      </c>
      <c r="B13" s="414" t="s">
        <v>272</v>
      </c>
      <c r="C13" s="333">
        <v>42243</v>
      </c>
      <c r="D13" s="468">
        <v>283500</v>
      </c>
      <c r="E13" s="474">
        <v>44119</v>
      </c>
      <c r="F13" s="418">
        <v>9</v>
      </c>
      <c r="G13" s="418">
        <v>365393.44</v>
      </c>
      <c r="H13" s="418">
        <v>0</v>
      </c>
      <c r="I13" s="418">
        <v>0</v>
      </c>
      <c r="J13" s="418">
        <v>7</v>
      </c>
      <c r="K13" s="470">
        <v>283500</v>
      </c>
      <c r="L13" s="418">
        <v>7</v>
      </c>
      <c r="M13" s="418">
        <v>7</v>
      </c>
      <c r="N13" s="418">
        <v>283500</v>
      </c>
      <c r="O13" s="418">
        <v>2</v>
      </c>
      <c r="P13" s="418">
        <v>81000</v>
      </c>
      <c r="Q13" s="418">
        <f t="shared" si="0"/>
        <v>0</v>
      </c>
      <c r="R13" s="418">
        <v>13</v>
      </c>
      <c r="S13" s="418">
        <v>283500</v>
      </c>
      <c r="T13" s="418">
        <v>12</v>
      </c>
      <c r="U13" s="418">
        <v>271350</v>
      </c>
      <c r="V13" s="12"/>
      <c r="W13" s="12"/>
    </row>
    <row r="14" spans="1:23" ht="22.5" x14ac:dyDescent="0.2">
      <c r="A14" s="316" t="s">
        <v>273</v>
      </c>
      <c r="B14" s="414" t="s">
        <v>274</v>
      </c>
      <c r="C14" s="333">
        <v>42281</v>
      </c>
      <c r="D14" s="468">
        <v>207013.07</v>
      </c>
      <c r="E14" s="474">
        <v>44119</v>
      </c>
      <c r="F14" s="418">
        <v>3</v>
      </c>
      <c r="G14" s="418">
        <v>238154.66</v>
      </c>
      <c r="H14" s="418">
        <v>0</v>
      </c>
      <c r="I14" s="418">
        <v>0</v>
      </c>
      <c r="J14" s="418">
        <v>2</v>
      </c>
      <c r="K14" s="418">
        <v>204363.06</v>
      </c>
      <c r="L14" s="418">
        <v>2</v>
      </c>
      <c r="M14" s="418">
        <v>2</v>
      </c>
      <c r="N14" s="418">
        <v>204363.06</v>
      </c>
      <c r="O14" s="418">
        <v>1</v>
      </c>
      <c r="P14" s="418">
        <v>31141.599999999999</v>
      </c>
      <c r="Q14" s="418">
        <f t="shared" si="0"/>
        <v>0</v>
      </c>
      <c r="R14" s="418">
        <v>2</v>
      </c>
      <c r="S14" s="418">
        <v>202059.68</v>
      </c>
      <c r="T14" s="418">
        <v>2</v>
      </c>
      <c r="U14" s="418">
        <v>201780.97</v>
      </c>
      <c r="V14" s="12"/>
      <c r="W14" s="12"/>
    </row>
    <row r="15" spans="1:23" ht="37.9" customHeight="1" x14ac:dyDescent="0.2">
      <c r="A15" s="316" t="s">
        <v>275</v>
      </c>
      <c r="B15" s="414" t="s">
        <v>285</v>
      </c>
      <c r="C15" s="333">
        <v>44826</v>
      </c>
      <c r="D15" s="468">
        <v>327944.75</v>
      </c>
      <c r="E15" s="474">
        <v>44119</v>
      </c>
      <c r="F15" s="418">
        <v>15</v>
      </c>
      <c r="G15" s="418">
        <v>542144.80000000005</v>
      </c>
      <c r="H15" s="418">
        <v>2</v>
      </c>
      <c r="I15" s="418">
        <v>53440.06</v>
      </c>
      <c r="J15" s="418">
        <v>7</v>
      </c>
      <c r="K15" s="418">
        <v>240913.22000000006</v>
      </c>
      <c r="L15" s="418">
        <v>7</v>
      </c>
      <c r="M15" s="418">
        <v>7</v>
      </c>
      <c r="N15" s="418">
        <v>240913.22000000006</v>
      </c>
      <c r="O15" s="418">
        <v>6</v>
      </c>
      <c r="P15" s="418">
        <f>178628+33591.47</f>
        <v>212219.47</v>
      </c>
      <c r="Q15" s="418">
        <f>K15-N15</f>
        <v>0</v>
      </c>
      <c r="R15" s="418">
        <v>13</v>
      </c>
      <c r="S15" s="418">
        <v>224086.8</v>
      </c>
      <c r="T15" s="418">
        <v>9</v>
      </c>
      <c r="U15" s="418">
        <v>198246.68</v>
      </c>
      <c r="V15" s="152"/>
      <c r="W15" s="12"/>
    </row>
    <row r="16" spans="1:23" ht="22.5" x14ac:dyDescent="0.2">
      <c r="A16" s="316" t="s">
        <v>273</v>
      </c>
      <c r="B16" s="414" t="s">
        <v>427</v>
      </c>
      <c r="C16" s="333">
        <v>65881</v>
      </c>
      <c r="D16" s="468">
        <v>1899874</v>
      </c>
      <c r="E16" s="474">
        <v>44816</v>
      </c>
      <c r="F16" s="418">
        <v>20</v>
      </c>
      <c r="G16" s="418">
        <v>1955726.13</v>
      </c>
      <c r="H16" s="418">
        <v>0</v>
      </c>
      <c r="I16" s="418">
        <v>0</v>
      </c>
      <c r="J16" s="418">
        <v>19</v>
      </c>
      <c r="K16" s="418">
        <v>1774487.94</v>
      </c>
      <c r="L16" s="418">
        <v>19</v>
      </c>
      <c r="M16" s="418">
        <v>19</v>
      </c>
      <c r="N16" s="418">
        <v>1774487.94</v>
      </c>
      <c r="O16" s="418">
        <v>1</v>
      </c>
      <c r="P16" s="418">
        <v>50000</v>
      </c>
      <c r="Q16" s="418">
        <f t="shared" si="0"/>
        <v>0</v>
      </c>
      <c r="R16" s="418">
        <v>20</v>
      </c>
      <c r="S16" s="418">
        <v>1690032.1500000001</v>
      </c>
      <c r="T16" s="418">
        <v>12</v>
      </c>
      <c r="U16" s="418">
        <v>1038245.2599999998</v>
      </c>
      <c r="V16" s="12"/>
      <c r="W16" s="12"/>
    </row>
    <row r="17" spans="1:26" ht="26.45" customHeight="1" x14ac:dyDescent="0.2">
      <c r="A17" s="333" t="s">
        <v>242</v>
      </c>
      <c r="B17" s="426" t="s">
        <v>546</v>
      </c>
      <c r="C17" s="427">
        <v>70421</v>
      </c>
      <c r="D17" s="468">
        <v>60000</v>
      </c>
      <c r="E17" s="415">
        <v>45036</v>
      </c>
      <c r="F17" s="418">
        <v>1</v>
      </c>
      <c r="G17" s="418">
        <v>30000</v>
      </c>
      <c r="H17" s="418">
        <v>0</v>
      </c>
      <c r="I17" s="418">
        <v>0</v>
      </c>
      <c r="J17" s="418">
        <v>1</v>
      </c>
      <c r="K17" s="418">
        <v>30000</v>
      </c>
      <c r="L17" s="418">
        <v>1</v>
      </c>
      <c r="M17" s="418">
        <v>1</v>
      </c>
      <c r="N17" s="418">
        <v>30000</v>
      </c>
      <c r="O17" s="418">
        <v>0</v>
      </c>
      <c r="P17" s="418">
        <v>0</v>
      </c>
      <c r="Q17" s="418">
        <f t="shared" si="0"/>
        <v>0</v>
      </c>
      <c r="R17" s="418">
        <v>2</v>
      </c>
      <c r="S17" s="418">
        <v>30000</v>
      </c>
      <c r="T17" s="418">
        <v>1</v>
      </c>
      <c r="U17" s="418">
        <v>21000</v>
      </c>
      <c r="V17" s="12"/>
      <c r="W17" s="12"/>
    </row>
    <row r="18" spans="1:26" ht="23.45" customHeight="1" x14ac:dyDescent="0.2">
      <c r="A18" s="333" t="s">
        <v>242</v>
      </c>
      <c r="B18" s="426" t="s">
        <v>547</v>
      </c>
      <c r="C18" s="427">
        <v>70401</v>
      </c>
      <c r="D18" s="468">
        <v>120000</v>
      </c>
      <c r="E18" s="415">
        <v>45036</v>
      </c>
      <c r="F18" s="418">
        <v>4</v>
      </c>
      <c r="G18" s="418">
        <v>120000</v>
      </c>
      <c r="H18" s="418">
        <v>0</v>
      </c>
      <c r="I18" s="418">
        <v>0</v>
      </c>
      <c r="J18" s="418">
        <v>4</v>
      </c>
      <c r="K18" s="418">
        <v>120000</v>
      </c>
      <c r="L18" s="418">
        <v>4</v>
      </c>
      <c r="M18" s="418">
        <v>4</v>
      </c>
      <c r="N18" s="418">
        <v>120000</v>
      </c>
      <c r="O18" s="418">
        <v>0</v>
      </c>
      <c r="P18" s="418">
        <v>0</v>
      </c>
      <c r="Q18" s="418">
        <f t="shared" si="0"/>
        <v>0</v>
      </c>
      <c r="R18" s="418">
        <v>7</v>
      </c>
      <c r="S18" s="418">
        <v>111000</v>
      </c>
      <c r="T18" s="418">
        <v>5</v>
      </c>
      <c r="U18" s="418">
        <v>81000</v>
      </c>
      <c r="V18" s="12"/>
      <c r="W18" s="12"/>
    </row>
    <row r="19" spans="1:26" ht="17.45" customHeight="1" x14ac:dyDescent="0.2">
      <c r="A19" s="333" t="s">
        <v>538</v>
      </c>
      <c r="B19" s="426" t="s">
        <v>439</v>
      </c>
      <c r="C19" s="427">
        <v>72182</v>
      </c>
      <c r="D19" s="468">
        <v>120000</v>
      </c>
      <c r="E19" s="415">
        <v>45189</v>
      </c>
      <c r="F19" s="418">
        <v>2</v>
      </c>
      <c r="G19" s="418">
        <v>65000</v>
      </c>
      <c r="H19" s="418">
        <v>0</v>
      </c>
      <c r="I19" s="418">
        <v>0</v>
      </c>
      <c r="J19" s="418">
        <v>2</v>
      </c>
      <c r="K19" s="418">
        <v>63843</v>
      </c>
      <c r="L19" s="418">
        <v>2</v>
      </c>
      <c r="M19" s="418">
        <v>2</v>
      </c>
      <c r="N19" s="418">
        <v>63843</v>
      </c>
      <c r="O19" s="418">
        <v>0</v>
      </c>
      <c r="P19" s="418">
        <v>0</v>
      </c>
      <c r="Q19" s="418">
        <f t="shared" si="0"/>
        <v>0</v>
      </c>
      <c r="R19" s="418">
        <v>1</v>
      </c>
      <c r="S19" s="418">
        <v>18102.23</v>
      </c>
      <c r="T19" s="418">
        <v>0</v>
      </c>
      <c r="U19" s="418">
        <v>0</v>
      </c>
      <c r="V19" s="12"/>
      <c r="W19" s="12"/>
    </row>
    <row r="20" spans="1:26" ht="22.15" customHeight="1" x14ac:dyDescent="0.2">
      <c r="A20" s="333" t="s">
        <v>539</v>
      </c>
      <c r="B20" s="426" t="s">
        <v>270</v>
      </c>
      <c r="C20" s="427">
        <v>74781</v>
      </c>
      <c r="D20" s="468">
        <v>120000</v>
      </c>
      <c r="E20" s="433">
        <v>45209</v>
      </c>
      <c r="F20" s="418">
        <v>3</v>
      </c>
      <c r="G20" s="418">
        <v>150000</v>
      </c>
      <c r="H20" s="418">
        <v>0</v>
      </c>
      <c r="I20" s="418">
        <v>0</v>
      </c>
      <c r="J20" s="418">
        <v>2</v>
      </c>
      <c r="K20" s="418">
        <v>98620</v>
      </c>
      <c r="L20" s="418">
        <v>2</v>
      </c>
      <c r="M20" s="418">
        <v>2</v>
      </c>
      <c r="N20" s="418">
        <v>98620</v>
      </c>
      <c r="O20" s="418">
        <v>1</v>
      </c>
      <c r="P20" s="418">
        <v>50000</v>
      </c>
      <c r="Q20" s="418">
        <f t="shared" si="0"/>
        <v>0</v>
      </c>
      <c r="R20" s="418">
        <v>1</v>
      </c>
      <c r="S20" s="418">
        <v>48620</v>
      </c>
      <c r="T20" s="418">
        <v>0</v>
      </c>
      <c r="U20" s="418">
        <v>0</v>
      </c>
      <c r="V20" s="12"/>
      <c r="W20" s="12"/>
    </row>
    <row r="21" spans="1:26" ht="26.45" customHeight="1" x14ac:dyDescent="0.2">
      <c r="A21" s="333" t="s">
        <v>538</v>
      </c>
      <c r="B21" s="426" t="s">
        <v>269</v>
      </c>
      <c r="C21" s="427">
        <v>75282</v>
      </c>
      <c r="D21" s="471">
        <v>120000</v>
      </c>
      <c r="E21" s="415">
        <v>45209</v>
      </c>
      <c r="F21" s="418">
        <v>3</v>
      </c>
      <c r="G21" s="418">
        <v>83740.7</v>
      </c>
      <c r="H21" s="418">
        <v>0</v>
      </c>
      <c r="I21" s="418">
        <v>0</v>
      </c>
      <c r="J21" s="418">
        <v>3</v>
      </c>
      <c r="K21" s="418">
        <v>82408.2</v>
      </c>
      <c r="L21" s="418">
        <v>3</v>
      </c>
      <c r="M21" s="418">
        <v>3</v>
      </c>
      <c r="N21" s="418">
        <v>82408.2</v>
      </c>
      <c r="O21" s="418">
        <v>0</v>
      </c>
      <c r="P21" s="418">
        <v>0</v>
      </c>
      <c r="Q21" s="418">
        <f>K21-N21</f>
        <v>0</v>
      </c>
      <c r="R21" s="418">
        <v>2</v>
      </c>
      <c r="S21" s="418">
        <v>53367.5</v>
      </c>
      <c r="T21" s="418">
        <v>2</v>
      </c>
      <c r="U21" s="418">
        <v>53367.5</v>
      </c>
      <c r="V21" s="152"/>
      <c r="W21" s="12"/>
    </row>
    <row r="22" spans="1:26" s="92" customFormat="1" ht="15" customHeight="1" x14ac:dyDescent="0.2">
      <c r="A22" s="257" t="s">
        <v>273</v>
      </c>
      <c r="B22" s="235" t="s">
        <v>274</v>
      </c>
      <c r="C22" s="146">
        <v>78309</v>
      </c>
      <c r="D22" s="493">
        <v>1208873.4099999999</v>
      </c>
      <c r="E22" s="180">
        <v>45429</v>
      </c>
      <c r="F22" s="342">
        <v>20</v>
      </c>
      <c r="G22" s="342">
        <v>1463641.36</v>
      </c>
      <c r="H22" s="342">
        <v>0</v>
      </c>
      <c r="I22" s="342">
        <v>0</v>
      </c>
      <c r="J22" s="342">
        <v>20</v>
      </c>
      <c r="K22" s="342">
        <v>1409463.6099999999</v>
      </c>
      <c r="L22" s="342">
        <v>20</v>
      </c>
      <c r="M22" s="342">
        <v>20</v>
      </c>
      <c r="N22" s="342">
        <v>1409463.6099999999</v>
      </c>
      <c r="O22" s="342">
        <v>0</v>
      </c>
      <c r="P22" s="342">
        <v>0</v>
      </c>
      <c r="Q22" s="342">
        <f t="shared" ref="Q22" si="1">K22-N22</f>
        <v>0</v>
      </c>
      <c r="R22" s="342">
        <v>17</v>
      </c>
      <c r="S22" s="342">
        <v>1199443.04</v>
      </c>
      <c r="T22" s="342">
        <v>7</v>
      </c>
      <c r="U22" s="342">
        <v>448194.19</v>
      </c>
      <c r="V22" s="315"/>
    </row>
    <row r="23" spans="1:26" x14ac:dyDescent="0.2">
      <c r="A23" s="19" t="s">
        <v>1</v>
      </c>
      <c r="B23" s="19"/>
      <c r="C23" s="59"/>
      <c r="D23" s="20">
        <f>SUM(D6:D22)</f>
        <v>5474967.5800000001</v>
      </c>
      <c r="E23" s="20"/>
      <c r="F23" s="20">
        <f t="shared" ref="F23:S23" si="2">SUM(F6:F22)</f>
        <v>100</v>
      </c>
      <c r="G23" s="20">
        <f t="shared" si="2"/>
        <v>6004074.1300000008</v>
      </c>
      <c r="H23" s="20">
        <f t="shared" si="2"/>
        <v>4</v>
      </c>
      <c r="I23" s="20">
        <f t="shared" si="2"/>
        <v>176440.06</v>
      </c>
      <c r="J23" s="20">
        <f t="shared" si="2"/>
        <v>81</v>
      </c>
      <c r="K23" s="20">
        <f t="shared" si="2"/>
        <v>4970650.1500000004</v>
      </c>
      <c r="L23" s="20">
        <f t="shared" si="2"/>
        <v>81</v>
      </c>
      <c r="M23" s="20">
        <f t="shared" si="2"/>
        <v>81</v>
      </c>
      <c r="N23" s="20">
        <f t="shared" si="2"/>
        <v>4970650.1500000004</v>
      </c>
      <c r="O23" s="20">
        <f t="shared" si="2"/>
        <v>15</v>
      </c>
      <c r="P23" s="20">
        <f t="shared" si="2"/>
        <v>624211.06999999995</v>
      </c>
      <c r="Q23" s="20">
        <f t="shared" si="2"/>
        <v>0</v>
      </c>
      <c r="R23" s="20">
        <f t="shared" si="2"/>
        <v>102</v>
      </c>
      <c r="S23" s="20">
        <f t="shared" si="2"/>
        <v>4425018.9800000004</v>
      </c>
      <c r="T23" s="490">
        <f>SUM(T6:T22)</f>
        <v>70</v>
      </c>
      <c r="U23" s="490">
        <f>SUM(U6:U22)</f>
        <v>2666644.94</v>
      </c>
      <c r="Z23" s="92"/>
    </row>
    <row r="24" spans="1:26" customFormat="1" ht="11.45" customHeight="1" x14ac:dyDescent="0.25">
      <c r="A24" s="210" t="s">
        <v>390</v>
      </c>
      <c r="B24" s="134"/>
      <c r="C24" s="134"/>
      <c r="D24" s="134"/>
      <c r="E24" s="134"/>
      <c r="F24" s="134"/>
      <c r="G24" s="134"/>
      <c r="H24" s="134"/>
      <c r="I24" s="134"/>
      <c r="J24" s="134"/>
      <c r="K24" s="134"/>
      <c r="L24" s="134"/>
      <c r="M24" s="134"/>
      <c r="N24" s="134"/>
      <c r="O24" s="134"/>
      <c r="P24" s="134"/>
      <c r="Q24" s="134"/>
      <c r="R24" s="134"/>
      <c r="Z24" s="92"/>
    </row>
    <row r="25" spans="1:26" s="23" customFormat="1" ht="24.6" customHeight="1" x14ac:dyDescent="0.25">
      <c r="A25" s="1124" t="s">
        <v>744</v>
      </c>
      <c r="B25" s="1124"/>
      <c r="C25" s="1124"/>
      <c r="D25" s="1124"/>
      <c r="E25" s="1124"/>
      <c r="F25" s="1124"/>
      <c r="G25" s="1124"/>
      <c r="H25" s="1124"/>
      <c r="I25" s="1124"/>
      <c r="J25" s="1124"/>
      <c r="K25" s="1124"/>
      <c r="L25" s="1124"/>
      <c r="M25" s="1124"/>
      <c r="N25" s="1124"/>
      <c r="O25" s="1124"/>
      <c r="P25" s="1124"/>
      <c r="Q25" s="1124"/>
      <c r="R25" s="1124"/>
      <c r="S25" s="1124"/>
      <c r="T25" s="1124"/>
      <c r="U25" s="1124"/>
      <c r="V25" s="87"/>
      <c r="X25" s="87"/>
    </row>
    <row r="26" spans="1:26" ht="19.149999999999999" customHeight="1" x14ac:dyDescent="0.2">
      <c r="A26" s="1125" t="s">
        <v>650</v>
      </c>
      <c r="B26" s="1125"/>
      <c r="C26" s="1126"/>
      <c r="D26" s="1125"/>
      <c r="E26" s="1125"/>
      <c r="F26" s="1125"/>
      <c r="G26" s="1125"/>
      <c r="H26" s="1126"/>
      <c r="I26" s="1126"/>
      <c r="J26" s="1125"/>
      <c r="K26" s="1125"/>
      <c r="L26" s="1125"/>
      <c r="M26" s="1125"/>
      <c r="N26" s="1125"/>
      <c r="O26" s="1125"/>
      <c r="P26" s="1125"/>
      <c r="Q26" s="1125"/>
      <c r="R26" s="1125"/>
      <c r="S26" s="1125"/>
      <c r="T26" s="1125"/>
      <c r="U26" s="1125"/>
      <c r="W26" s="12"/>
    </row>
    <row r="27" spans="1:26" ht="20.25" customHeight="1" x14ac:dyDescent="0.2">
      <c r="A27" s="943" t="s">
        <v>248</v>
      </c>
      <c r="B27" s="943" t="s">
        <v>156</v>
      </c>
      <c r="C27" s="943" t="s">
        <v>282</v>
      </c>
      <c r="D27" s="943" t="s">
        <v>157</v>
      </c>
      <c r="E27" s="943" t="s">
        <v>158</v>
      </c>
      <c r="F27" s="968" t="s">
        <v>337</v>
      </c>
      <c r="G27" s="969"/>
      <c r="H27" s="968" t="s">
        <v>277</v>
      </c>
      <c r="I27" s="969"/>
      <c r="J27" s="968" t="s">
        <v>159</v>
      </c>
      <c r="K27" s="969"/>
      <c r="L27" s="947" t="s">
        <v>749</v>
      </c>
      <c r="M27" s="948"/>
      <c r="N27" s="948"/>
      <c r="O27" s="948"/>
      <c r="P27" s="949"/>
      <c r="Q27" s="943" t="s">
        <v>250</v>
      </c>
      <c r="R27" s="937" t="s">
        <v>750</v>
      </c>
      <c r="S27" s="938"/>
      <c r="T27" s="937" t="s">
        <v>751</v>
      </c>
      <c r="U27" s="938"/>
    </row>
    <row r="28" spans="1:26" ht="10.15" customHeight="1" x14ac:dyDescent="0.2">
      <c r="A28" s="944"/>
      <c r="B28" s="944"/>
      <c r="C28" s="944"/>
      <c r="D28" s="944"/>
      <c r="E28" s="944"/>
      <c r="F28" s="939"/>
      <c r="G28" s="940"/>
      <c r="H28" s="939"/>
      <c r="I28" s="940"/>
      <c r="J28" s="939"/>
      <c r="K28" s="940"/>
      <c r="L28" s="975" t="s">
        <v>160</v>
      </c>
      <c r="M28" s="948"/>
      <c r="N28" s="949"/>
      <c r="O28" s="968" t="s">
        <v>626</v>
      </c>
      <c r="P28" s="969"/>
      <c r="Q28" s="944"/>
      <c r="R28" s="939"/>
      <c r="S28" s="940"/>
      <c r="T28" s="939"/>
      <c r="U28" s="940"/>
    </row>
    <row r="29" spans="1:26" ht="21" customHeight="1" x14ac:dyDescent="0.2">
      <c r="A29" s="944"/>
      <c r="B29" s="944"/>
      <c r="C29" s="944"/>
      <c r="D29" s="944"/>
      <c r="E29" s="944"/>
      <c r="F29" s="941"/>
      <c r="G29" s="942"/>
      <c r="H29" s="941"/>
      <c r="I29" s="942"/>
      <c r="J29" s="941"/>
      <c r="K29" s="942"/>
      <c r="L29" s="950" t="s">
        <v>161</v>
      </c>
      <c r="M29" s="975" t="s">
        <v>247</v>
      </c>
      <c r="N29" s="949"/>
      <c r="O29" s="941"/>
      <c r="P29" s="942"/>
      <c r="Q29" s="946"/>
      <c r="R29" s="941"/>
      <c r="S29" s="942"/>
      <c r="T29" s="941"/>
      <c r="U29" s="942"/>
    </row>
    <row r="30" spans="1:26" ht="21.75" x14ac:dyDescent="0.2">
      <c r="A30" s="946"/>
      <c r="B30" s="946"/>
      <c r="C30" s="946"/>
      <c r="D30" s="946"/>
      <c r="E30" s="946"/>
      <c r="F30" s="122" t="s">
        <v>161</v>
      </c>
      <c r="G30" s="123" t="s">
        <v>162</v>
      </c>
      <c r="H30" s="15" t="s">
        <v>161</v>
      </c>
      <c r="I30" s="16" t="s">
        <v>162</v>
      </c>
      <c r="J30" s="122" t="s">
        <v>161</v>
      </c>
      <c r="K30" s="123" t="s">
        <v>162</v>
      </c>
      <c r="L30" s="1119"/>
      <c r="M30" s="154" t="s">
        <v>161</v>
      </c>
      <c r="N30" s="125" t="s">
        <v>162</v>
      </c>
      <c r="O30" s="154" t="s">
        <v>161</v>
      </c>
      <c r="P30" s="125" t="s">
        <v>162</v>
      </c>
      <c r="Q30" s="16" t="s">
        <v>162</v>
      </c>
      <c r="R30" s="15" t="s">
        <v>161</v>
      </c>
      <c r="S30" s="16" t="s">
        <v>162</v>
      </c>
      <c r="T30" s="77" t="s">
        <v>161</v>
      </c>
      <c r="U30" s="78" t="s">
        <v>162</v>
      </c>
    </row>
    <row r="31" spans="1:26" s="450" customFormat="1" ht="22.5" x14ac:dyDescent="0.2">
      <c r="A31" s="316" t="s">
        <v>245</v>
      </c>
      <c r="B31" s="423" t="s">
        <v>334</v>
      </c>
      <c r="C31" s="449">
        <v>23882</v>
      </c>
      <c r="D31" s="430">
        <v>255604.41</v>
      </c>
      <c r="E31" s="425">
        <v>43570</v>
      </c>
      <c r="F31" s="418">
        <v>8</v>
      </c>
      <c r="G31" s="418">
        <v>359999.99</v>
      </c>
      <c r="H31" s="418">
        <v>1</v>
      </c>
      <c r="I31" s="418">
        <v>45000</v>
      </c>
      <c r="J31" s="418">
        <v>6</v>
      </c>
      <c r="K31" s="418">
        <v>255604.41</v>
      </c>
      <c r="L31" s="418">
        <v>6</v>
      </c>
      <c r="M31" s="418">
        <v>6</v>
      </c>
      <c r="N31" s="418">
        <f>300126.87-P31</f>
        <v>255604.41</v>
      </c>
      <c r="O31" s="418">
        <v>1</v>
      </c>
      <c r="P31" s="418">
        <v>44522.46</v>
      </c>
      <c r="Q31" s="418">
        <f t="shared" ref="Q31:Q39" si="3">K31-N31</f>
        <v>0</v>
      </c>
      <c r="R31" s="418">
        <v>6</v>
      </c>
      <c r="S31" s="418">
        <v>249268.83000000002</v>
      </c>
      <c r="T31" s="418">
        <v>6</v>
      </c>
      <c r="U31" s="418">
        <v>244805.96000000002</v>
      </c>
      <c r="W31" s="461"/>
    </row>
    <row r="32" spans="1:26" s="450" customFormat="1" ht="22.5" x14ac:dyDescent="0.2">
      <c r="A32" s="316" t="s">
        <v>245</v>
      </c>
      <c r="B32" s="423" t="s">
        <v>263</v>
      </c>
      <c r="C32" s="449">
        <v>30923</v>
      </c>
      <c r="D32" s="430">
        <v>1375028.9400000002</v>
      </c>
      <c r="E32" s="425">
        <v>43728.999988425923</v>
      </c>
      <c r="F32" s="418">
        <v>7</v>
      </c>
      <c r="G32" s="418">
        <v>1398738.28</v>
      </c>
      <c r="H32" s="418">
        <v>0</v>
      </c>
      <c r="I32" s="418">
        <v>0</v>
      </c>
      <c r="J32" s="418">
        <v>7</v>
      </c>
      <c r="K32" s="418">
        <v>1375028.9400000002</v>
      </c>
      <c r="L32" s="418">
        <v>7</v>
      </c>
      <c r="M32" s="418">
        <v>7</v>
      </c>
      <c r="N32" s="418">
        <v>1375028.9400000002</v>
      </c>
      <c r="O32" s="418">
        <v>0</v>
      </c>
      <c r="P32" s="418">
        <v>0</v>
      </c>
      <c r="Q32" s="418">
        <f t="shared" si="3"/>
        <v>0</v>
      </c>
      <c r="R32" s="418">
        <v>7</v>
      </c>
      <c r="S32" s="418">
        <v>1311582.53</v>
      </c>
      <c r="T32" s="418">
        <v>5</v>
      </c>
      <c r="U32" s="418">
        <v>927286.29</v>
      </c>
    </row>
    <row r="33" spans="1:27" s="450" customFormat="1" ht="22.5" x14ac:dyDescent="0.2">
      <c r="A33" s="137" t="s">
        <v>538</v>
      </c>
      <c r="B33" s="423" t="s">
        <v>263</v>
      </c>
      <c r="C33" s="449">
        <v>34923</v>
      </c>
      <c r="D33" s="430">
        <v>668435.93999999994</v>
      </c>
      <c r="E33" s="425">
        <v>43784.999988425923</v>
      </c>
      <c r="F33" s="418">
        <v>8</v>
      </c>
      <c r="G33" s="418">
        <v>992700.27</v>
      </c>
      <c r="H33" s="418">
        <v>0</v>
      </c>
      <c r="I33" s="418">
        <v>0</v>
      </c>
      <c r="J33" s="418">
        <v>4</v>
      </c>
      <c r="K33" s="428">
        <v>703368.96</v>
      </c>
      <c r="L33" s="418">
        <v>4</v>
      </c>
      <c r="M33" s="418">
        <v>4</v>
      </c>
      <c r="N33" s="428">
        <v>703368.96</v>
      </c>
      <c r="O33" s="418">
        <v>3</v>
      </c>
      <c r="P33" s="418">
        <v>238881.82</v>
      </c>
      <c r="Q33" s="418">
        <f>K33-N33</f>
        <v>0</v>
      </c>
      <c r="R33" s="418">
        <v>6</v>
      </c>
      <c r="S33" s="418">
        <v>575912.34000000008</v>
      </c>
      <c r="T33" s="418">
        <v>5</v>
      </c>
      <c r="U33" s="418">
        <v>412935.94</v>
      </c>
      <c r="V33" s="462"/>
    </row>
    <row r="34" spans="1:27" s="450" customFormat="1" ht="19.149999999999999" customHeight="1" x14ac:dyDescent="0.2">
      <c r="A34" s="137" t="s">
        <v>538</v>
      </c>
      <c r="B34" s="423" t="s">
        <v>320</v>
      </c>
      <c r="C34" s="449">
        <v>49261</v>
      </c>
      <c r="D34" s="430">
        <v>0</v>
      </c>
      <c r="E34" s="425">
        <v>44286</v>
      </c>
      <c r="F34" s="418">
        <v>0</v>
      </c>
      <c r="G34" s="418">
        <v>0</v>
      </c>
      <c r="H34" s="418">
        <v>0</v>
      </c>
      <c r="I34" s="418">
        <v>0</v>
      </c>
      <c r="J34" s="418">
        <v>0</v>
      </c>
      <c r="K34" s="418">
        <v>0</v>
      </c>
      <c r="L34" s="418">
        <v>0</v>
      </c>
      <c r="M34" s="418">
        <v>0</v>
      </c>
      <c r="N34" s="418">
        <v>0</v>
      </c>
      <c r="O34" s="418">
        <v>0</v>
      </c>
      <c r="P34" s="418">
        <v>0</v>
      </c>
      <c r="Q34" s="418">
        <f t="shared" si="3"/>
        <v>0</v>
      </c>
      <c r="R34" s="418">
        <v>0</v>
      </c>
      <c r="S34" s="418">
        <v>0</v>
      </c>
      <c r="T34" s="418">
        <v>0</v>
      </c>
      <c r="U34" s="418">
        <v>0</v>
      </c>
      <c r="Z34" s="463"/>
      <c r="AA34" s="464"/>
    </row>
    <row r="35" spans="1:27" s="450" customFormat="1" ht="33.75" x14ac:dyDescent="0.2">
      <c r="A35" s="137" t="s">
        <v>538</v>
      </c>
      <c r="B35" s="423" t="s">
        <v>321</v>
      </c>
      <c r="C35" s="449">
        <v>49283</v>
      </c>
      <c r="D35" s="430">
        <v>391317.74</v>
      </c>
      <c r="E35" s="425">
        <v>44286</v>
      </c>
      <c r="F35" s="418">
        <v>13</v>
      </c>
      <c r="G35" s="418">
        <v>563892.81000000006</v>
      </c>
      <c r="H35" s="418">
        <v>0</v>
      </c>
      <c r="I35" s="418">
        <v>0</v>
      </c>
      <c r="J35" s="418">
        <v>9</v>
      </c>
      <c r="K35" s="428">
        <v>391006.57</v>
      </c>
      <c r="L35" s="418">
        <v>9</v>
      </c>
      <c r="M35" s="418">
        <v>9</v>
      </c>
      <c r="N35" s="428">
        <v>391006.57</v>
      </c>
      <c r="O35" s="418">
        <v>1</v>
      </c>
      <c r="P35" s="418">
        <v>22458.06</v>
      </c>
      <c r="Q35" s="418">
        <f t="shared" si="3"/>
        <v>0</v>
      </c>
      <c r="R35" s="418">
        <v>11</v>
      </c>
      <c r="S35" s="418">
        <v>306943.96000000002</v>
      </c>
      <c r="T35" s="418">
        <v>11</v>
      </c>
      <c r="U35" s="418">
        <v>306391.64999999997</v>
      </c>
      <c r="W35" s="465"/>
      <c r="X35" s="466"/>
      <c r="Y35" s="467"/>
      <c r="Z35" s="463"/>
      <c r="AA35" s="464"/>
    </row>
    <row r="36" spans="1:27" s="450" customFormat="1" ht="45" x14ac:dyDescent="0.2">
      <c r="A36" s="137" t="s">
        <v>538</v>
      </c>
      <c r="B36" s="423" t="s">
        <v>322</v>
      </c>
      <c r="C36" s="449">
        <v>49262</v>
      </c>
      <c r="D36" s="430">
        <v>18553.46</v>
      </c>
      <c r="E36" s="425">
        <v>44286</v>
      </c>
      <c r="F36" s="418">
        <v>1</v>
      </c>
      <c r="G36" s="418">
        <v>19792.5</v>
      </c>
      <c r="H36" s="418">
        <v>0</v>
      </c>
      <c r="I36" s="418">
        <v>0</v>
      </c>
      <c r="J36" s="418">
        <v>1</v>
      </c>
      <c r="K36" s="418">
        <v>18553.46</v>
      </c>
      <c r="L36" s="418">
        <v>1</v>
      </c>
      <c r="M36" s="418">
        <v>1</v>
      </c>
      <c r="N36" s="418">
        <v>18553.46</v>
      </c>
      <c r="O36" s="418">
        <v>0</v>
      </c>
      <c r="P36" s="418">
        <v>0</v>
      </c>
      <c r="Q36" s="418">
        <f t="shared" si="3"/>
        <v>0</v>
      </c>
      <c r="R36" s="418">
        <v>1</v>
      </c>
      <c r="S36" s="418">
        <v>18553.46</v>
      </c>
      <c r="T36" s="418">
        <v>1</v>
      </c>
      <c r="U36" s="418">
        <v>18553.46</v>
      </c>
      <c r="W36" s="465"/>
      <c r="X36" s="466"/>
      <c r="Y36" s="467"/>
      <c r="Z36" s="463"/>
      <c r="AA36" s="464"/>
    </row>
    <row r="37" spans="1:27" s="450" customFormat="1" ht="34.9" customHeight="1" x14ac:dyDescent="0.2">
      <c r="A37" s="137" t="s">
        <v>365</v>
      </c>
      <c r="B37" s="423" t="s">
        <v>421</v>
      </c>
      <c r="C37" s="449">
        <v>62762</v>
      </c>
      <c r="D37" s="430">
        <v>102242.82</v>
      </c>
      <c r="E37" s="425">
        <v>44635</v>
      </c>
      <c r="F37" s="418">
        <v>1</v>
      </c>
      <c r="G37" s="418">
        <v>102242.82</v>
      </c>
      <c r="H37" s="418">
        <v>0</v>
      </c>
      <c r="I37" s="418">
        <v>0</v>
      </c>
      <c r="J37" s="418">
        <v>1</v>
      </c>
      <c r="K37" s="418">
        <v>102242.82</v>
      </c>
      <c r="L37" s="418">
        <v>1</v>
      </c>
      <c r="M37" s="418">
        <v>1</v>
      </c>
      <c r="N37" s="418">
        <v>102242.82</v>
      </c>
      <c r="O37" s="418">
        <v>0</v>
      </c>
      <c r="P37" s="418">
        <v>0</v>
      </c>
      <c r="Q37" s="418">
        <f t="shared" si="3"/>
        <v>0</v>
      </c>
      <c r="R37" s="418">
        <v>2</v>
      </c>
      <c r="S37" s="418">
        <v>89295.51999999999</v>
      </c>
      <c r="T37" s="418">
        <v>1</v>
      </c>
      <c r="U37" s="418">
        <v>31468</v>
      </c>
      <c r="W37" s="465"/>
      <c r="X37" s="466"/>
      <c r="Y37" s="467"/>
      <c r="Z37" s="463"/>
      <c r="AA37" s="464"/>
    </row>
    <row r="38" spans="1:27" s="450" customFormat="1" ht="30" customHeight="1" x14ac:dyDescent="0.2">
      <c r="A38" s="137" t="s">
        <v>538</v>
      </c>
      <c r="B38" s="423" t="s">
        <v>321</v>
      </c>
      <c r="C38" s="449">
        <v>71901</v>
      </c>
      <c r="D38" s="430">
        <v>369426.78</v>
      </c>
      <c r="E38" s="425">
        <v>45051</v>
      </c>
      <c r="F38" s="418">
        <v>17</v>
      </c>
      <c r="G38" s="418">
        <v>698701.74</v>
      </c>
      <c r="H38" s="418">
        <v>0</v>
      </c>
      <c r="I38" s="418">
        <v>0</v>
      </c>
      <c r="J38" s="418">
        <v>9</v>
      </c>
      <c r="K38" s="418">
        <v>369426.78</v>
      </c>
      <c r="L38" s="418">
        <v>9</v>
      </c>
      <c r="M38" s="418">
        <v>9</v>
      </c>
      <c r="N38" s="418">
        <v>369426.78</v>
      </c>
      <c r="O38" s="418">
        <v>0</v>
      </c>
      <c r="P38" s="418">
        <v>0</v>
      </c>
      <c r="Q38" s="417">
        <f t="shared" si="3"/>
        <v>0</v>
      </c>
      <c r="R38" s="418">
        <v>10</v>
      </c>
      <c r="S38" s="418">
        <v>285471.56999999995</v>
      </c>
      <c r="T38" s="418">
        <v>6</v>
      </c>
      <c r="U38" s="418">
        <v>155919.36000000002</v>
      </c>
      <c r="W38" s="465"/>
      <c r="X38" s="466"/>
      <c r="Y38" s="467"/>
      <c r="Z38" s="463"/>
      <c r="AA38" s="464"/>
    </row>
    <row r="39" spans="1:27" s="450" customFormat="1" ht="22.5" x14ac:dyDescent="0.2">
      <c r="A39" s="137" t="s">
        <v>245</v>
      </c>
      <c r="B39" s="423" t="s">
        <v>334</v>
      </c>
      <c r="C39" s="449">
        <v>71862</v>
      </c>
      <c r="D39" s="430">
        <v>386409.43</v>
      </c>
      <c r="E39" s="425">
        <v>45051</v>
      </c>
      <c r="F39" s="418">
        <v>5</v>
      </c>
      <c r="G39" s="418">
        <v>389429.73000000004</v>
      </c>
      <c r="H39" s="418">
        <v>0</v>
      </c>
      <c r="I39" s="418">
        <v>0</v>
      </c>
      <c r="J39" s="418">
        <v>5</v>
      </c>
      <c r="K39" s="418">
        <v>386409.43</v>
      </c>
      <c r="L39" s="418">
        <v>5</v>
      </c>
      <c r="M39" s="418">
        <v>5</v>
      </c>
      <c r="N39" s="418">
        <v>386409.43</v>
      </c>
      <c r="O39" s="418">
        <v>0</v>
      </c>
      <c r="P39" s="418">
        <v>0</v>
      </c>
      <c r="Q39" s="417">
        <f t="shared" si="3"/>
        <v>0</v>
      </c>
      <c r="R39" s="418">
        <v>4</v>
      </c>
      <c r="S39" s="418">
        <v>300677.10000000003</v>
      </c>
      <c r="T39" s="418">
        <v>1</v>
      </c>
      <c r="U39" s="418">
        <v>87635.24</v>
      </c>
      <c r="W39" s="465"/>
      <c r="X39" s="466"/>
      <c r="Y39" s="467"/>
      <c r="Z39" s="463"/>
      <c r="AA39" s="464"/>
    </row>
    <row r="40" spans="1:27" x14ac:dyDescent="0.2">
      <c r="A40" s="19" t="s">
        <v>1</v>
      </c>
      <c r="B40" s="19"/>
      <c r="C40" s="59"/>
      <c r="D40" s="20">
        <f>SUM(D31:D39)</f>
        <v>3567019.52</v>
      </c>
      <c r="E40" s="20"/>
      <c r="F40" s="20">
        <f t="shared" ref="F40:U40" si="4">SUM(F31:F39)</f>
        <v>60</v>
      </c>
      <c r="G40" s="20">
        <f t="shared" si="4"/>
        <v>4525498.1400000006</v>
      </c>
      <c r="H40" s="20">
        <f t="shared" si="4"/>
        <v>1</v>
      </c>
      <c r="I40" s="20">
        <f t="shared" si="4"/>
        <v>45000</v>
      </c>
      <c r="J40" s="20">
        <f t="shared" si="4"/>
        <v>42</v>
      </c>
      <c r="K40" s="20">
        <f t="shared" si="4"/>
        <v>3601641.3699999996</v>
      </c>
      <c r="L40" s="20">
        <f t="shared" si="4"/>
        <v>42</v>
      </c>
      <c r="M40" s="20">
        <f t="shared" si="4"/>
        <v>42</v>
      </c>
      <c r="N40" s="20">
        <f t="shared" si="4"/>
        <v>3601641.3699999996</v>
      </c>
      <c r="O40" s="20">
        <f t="shared" si="4"/>
        <v>5</v>
      </c>
      <c r="P40" s="20">
        <f t="shared" si="4"/>
        <v>305862.34000000003</v>
      </c>
      <c r="Q40" s="20">
        <f t="shared" si="4"/>
        <v>0</v>
      </c>
      <c r="R40" s="20">
        <f t="shared" si="4"/>
        <v>47</v>
      </c>
      <c r="S40" s="20">
        <f t="shared" si="4"/>
        <v>3137705.31</v>
      </c>
      <c r="T40" s="490">
        <f t="shared" si="4"/>
        <v>36</v>
      </c>
      <c r="U40" s="490">
        <f t="shared" si="4"/>
        <v>2184995.9</v>
      </c>
      <c r="W40" s="152"/>
    </row>
    <row r="41" spans="1:27" customFormat="1" ht="15" customHeight="1" x14ac:dyDescent="0.25">
      <c r="A41" s="210" t="s">
        <v>390</v>
      </c>
      <c r="B41" s="134"/>
      <c r="C41" s="134"/>
      <c r="D41" s="134"/>
      <c r="E41" s="134"/>
      <c r="F41" s="134"/>
      <c r="G41" s="134"/>
      <c r="H41" s="134"/>
      <c r="I41" s="134"/>
      <c r="J41" s="134"/>
      <c r="K41" s="134"/>
      <c r="L41" s="134"/>
      <c r="M41" s="134"/>
      <c r="N41" s="134"/>
      <c r="O41" s="134"/>
      <c r="P41" s="134"/>
      <c r="Q41" s="134"/>
      <c r="R41" s="134"/>
    </row>
    <row r="42" spans="1:27" s="23" customFormat="1" ht="24.6" customHeight="1" x14ac:dyDescent="0.25">
      <c r="A42" s="1124" t="s">
        <v>744</v>
      </c>
      <c r="B42" s="1124"/>
      <c r="C42" s="1124"/>
      <c r="D42" s="1124"/>
      <c r="E42" s="1124"/>
      <c r="F42" s="1124"/>
      <c r="G42" s="1124"/>
      <c r="H42" s="1124"/>
      <c r="I42" s="1124"/>
      <c r="J42" s="1124"/>
      <c r="K42" s="1124"/>
      <c r="L42" s="1124"/>
      <c r="M42" s="1124"/>
      <c r="N42" s="1124"/>
      <c r="O42" s="1124"/>
      <c r="P42" s="1124"/>
      <c r="Q42" s="1124"/>
      <c r="R42" s="1124"/>
      <c r="S42" s="1124"/>
      <c r="T42" s="1124"/>
      <c r="U42" s="1124"/>
      <c r="V42" s="87"/>
      <c r="X42" s="87"/>
    </row>
  </sheetData>
  <mergeCells count="36">
    <mergeCell ref="A42:U42"/>
    <mergeCell ref="L29:L30"/>
    <mergeCell ref="C27:C30"/>
    <mergeCell ref="A26:U26"/>
    <mergeCell ref="A27:A30"/>
    <mergeCell ref="B27:B30"/>
    <mergeCell ref="D27:D30"/>
    <mergeCell ref="E27:E30"/>
    <mergeCell ref="F27:G29"/>
    <mergeCell ref="J27:K29"/>
    <mergeCell ref="L27:P27"/>
    <mergeCell ref="Q27:Q29"/>
    <mergeCell ref="R27:S29"/>
    <mergeCell ref="T27:U29"/>
    <mergeCell ref="L28:N28"/>
    <mergeCell ref="H27:I29"/>
    <mergeCell ref="O28:P29"/>
    <mergeCell ref="M29:N29"/>
    <mergeCell ref="A25:U25"/>
    <mergeCell ref="T2:U4"/>
    <mergeCell ref="L3:N3"/>
    <mergeCell ref="O3:P4"/>
    <mergeCell ref="H2:I4"/>
    <mergeCell ref="C2:C5"/>
    <mergeCell ref="L2:P2"/>
    <mergeCell ref="Q2:Q4"/>
    <mergeCell ref="R2:S4"/>
    <mergeCell ref="M4:N4"/>
    <mergeCell ref="L4:L5"/>
    <mergeCell ref="A1:U1"/>
    <mergeCell ref="A2:A5"/>
    <mergeCell ref="B2:B5"/>
    <mergeCell ref="D2:D5"/>
    <mergeCell ref="E2:E5"/>
    <mergeCell ref="F2:G4"/>
    <mergeCell ref="J2:K4"/>
  </mergeCells>
  <printOptions horizontalCentered="1"/>
  <pageMargins left="0.70866141732283472" right="0.70866141732283472" top="0.74803149606299213" bottom="0.74803149606299213" header="0.31496062992125984" footer="0.31496062992125984"/>
  <pageSetup paperSize="9" scale="86" fitToHeight="0" orientation="landscape" r:id="rId1"/>
  <rowBreaks count="1" manualBreakCount="1">
    <brk id="25" max="20" man="1"/>
  </rowBreaks>
  <colBreaks count="1" manualBreakCount="1">
    <brk id="21"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3"/>
  <sheetViews>
    <sheetView view="pageBreakPreview" topLeftCell="C22" zoomScaleNormal="100" zoomScaleSheetLayoutView="100" workbookViewId="0">
      <selection activeCell="R34" sqref="R34:S34"/>
    </sheetView>
  </sheetViews>
  <sheetFormatPr defaultColWidth="8.7109375" defaultRowHeight="11.25" x14ac:dyDescent="0.2"/>
  <cols>
    <col min="1" max="1" width="6" style="12" customWidth="1"/>
    <col min="2" max="2" width="35.85546875" style="12" customWidth="1"/>
    <col min="3" max="3" width="7.140625" style="12" customWidth="1"/>
    <col min="4" max="4" width="10.140625" style="12" customWidth="1"/>
    <col min="5" max="5" width="9" style="12" customWidth="1"/>
    <col min="6" max="6" width="4.140625" style="12" customWidth="1"/>
    <col min="7" max="7" width="9.140625" style="12" customWidth="1"/>
    <col min="8" max="8" width="3.140625" style="12" bestFit="1" customWidth="1"/>
    <col min="9" max="9" width="5.85546875" style="12" bestFit="1" customWidth="1"/>
    <col min="10" max="10" width="3.28515625" style="12" bestFit="1" customWidth="1"/>
    <col min="11" max="11" width="10.7109375" style="12" customWidth="1"/>
    <col min="12" max="12" width="2.85546875" style="12" customWidth="1"/>
    <col min="13" max="13" width="3.28515625" style="12" bestFit="1" customWidth="1"/>
    <col min="14" max="14" width="10.7109375" style="307" customWidth="1"/>
    <col min="15" max="15" width="3.140625" style="12" bestFit="1" customWidth="1"/>
    <col min="16" max="16" width="8.5703125" style="12" customWidth="1"/>
    <col min="17" max="17" width="8.42578125" style="12" customWidth="1"/>
    <col min="18" max="18" width="3.140625" style="12" bestFit="1" customWidth="1"/>
    <col min="19" max="19" width="10" style="12" customWidth="1"/>
    <col min="20" max="20" width="3.140625" style="12" bestFit="1" customWidth="1"/>
    <col min="21" max="21" width="9.28515625" style="12" customWidth="1"/>
    <col min="22" max="22" width="8.7109375" style="92"/>
    <col min="23" max="16384" width="8.7109375" style="12"/>
  </cols>
  <sheetData>
    <row r="1" spans="1:23" ht="15" customHeight="1" x14ac:dyDescent="0.2">
      <c r="A1" s="1125" t="s">
        <v>651</v>
      </c>
      <c r="B1" s="1125"/>
      <c r="C1" s="1126"/>
      <c r="D1" s="1125"/>
      <c r="E1" s="1125"/>
      <c r="F1" s="1125"/>
      <c r="G1" s="1125"/>
      <c r="H1" s="1126"/>
      <c r="I1" s="1126"/>
      <c r="J1" s="1125"/>
      <c r="K1" s="1125"/>
      <c r="L1" s="1125"/>
      <c r="M1" s="1125"/>
      <c r="N1" s="1125"/>
      <c r="O1" s="1125"/>
      <c r="P1" s="1125"/>
      <c r="Q1" s="1125"/>
      <c r="R1" s="1125"/>
      <c r="S1" s="1125"/>
      <c r="T1" s="1125"/>
      <c r="U1" s="1125"/>
      <c r="W1" s="92"/>
    </row>
    <row r="2" spans="1:23"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W2" s="92"/>
    </row>
    <row r="3" spans="1:23"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W3" s="92"/>
    </row>
    <row r="4" spans="1:23"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W4" s="92"/>
    </row>
    <row r="5" spans="1:23" ht="21"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W5" s="92"/>
    </row>
    <row r="6" spans="1:23" ht="18.600000000000001" customHeight="1" x14ac:dyDescent="0.2">
      <c r="A6" s="316" t="s">
        <v>242</v>
      </c>
      <c r="B6" s="414" t="s">
        <v>243</v>
      </c>
      <c r="C6" s="427">
        <v>24941</v>
      </c>
      <c r="D6" s="430">
        <v>380000</v>
      </c>
      <c r="E6" s="17">
        <v>43707</v>
      </c>
      <c r="F6" s="416">
        <v>18</v>
      </c>
      <c r="G6" s="417">
        <v>943135.7</v>
      </c>
      <c r="H6" s="418">
        <v>0</v>
      </c>
      <c r="I6" s="418">
        <v>0</v>
      </c>
      <c r="J6" s="514">
        <v>10</v>
      </c>
      <c r="K6" s="428">
        <v>513211.4</v>
      </c>
      <c r="L6" s="377">
        <v>8</v>
      </c>
      <c r="M6" s="448">
        <v>8</v>
      </c>
      <c r="N6" s="448">
        <v>380060</v>
      </c>
      <c r="O6" s="377">
        <v>5</v>
      </c>
      <c r="P6" s="448">
        <v>253563.3</v>
      </c>
      <c r="Q6" s="418">
        <f>K6-N6</f>
        <v>133151.40000000002</v>
      </c>
      <c r="R6" s="377">
        <v>17</v>
      </c>
      <c r="S6" s="418">
        <v>418536.5</v>
      </c>
      <c r="T6" s="377">
        <v>14</v>
      </c>
      <c r="U6" s="418">
        <v>347437.49999999994</v>
      </c>
      <c r="V6" s="12"/>
    </row>
    <row r="7" spans="1:23" ht="22.5" x14ac:dyDescent="0.2">
      <c r="A7" s="316" t="s">
        <v>242</v>
      </c>
      <c r="B7" s="414" t="s">
        <v>244</v>
      </c>
      <c r="C7" s="427">
        <v>25205</v>
      </c>
      <c r="D7" s="430">
        <v>45000</v>
      </c>
      <c r="E7" s="17">
        <v>43707</v>
      </c>
      <c r="F7" s="416">
        <v>3</v>
      </c>
      <c r="G7" s="417">
        <v>135000</v>
      </c>
      <c r="H7" s="418">
        <v>0</v>
      </c>
      <c r="I7" s="418">
        <v>0</v>
      </c>
      <c r="J7" s="514">
        <v>3</v>
      </c>
      <c r="K7" s="428">
        <v>135000</v>
      </c>
      <c r="L7" s="377">
        <v>3</v>
      </c>
      <c r="M7" s="377">
        <v>3</v>
      </c>
      <c r="N7" s="448">
        <v>135000</v>
      </c>
      <c r="O7" s="377">
        <v>0</v>
      </c>
      <c r="P7" s="448">
        <v>0</v>
      </c>
      <c r="Q7" s="418">
        <f t="shared" ref="Q7:Q17" si="0">K7-N7</f>
        <v>0</v>
      </c>
      <c r="R7" s="377">
        <v>3</v>
      </c>
      <c r="S7" s="418">
        <v>76500</v>
      </c>
      <c r="T7" s="377">
        <v>2</v>
      </c>
      <c r="U7" s="418">
        <v>45000</v>
      </c>
      <c r="V7" s="12"/>
    </row>
    <row r="8" spans="1:23" ht="22.5" x14ac:dyDescent="0.2">
      <c r="A8" s="137" t="s">
        <v>539</v>
      </c>
      <c r="B8" s="414" t="s">
        <v>264</v>
      </c>
      <c r="C8" s="427">
        <v>31304</v>
      </c>
      <c r="D8" s="430">
        <v>30000</v>
      </c>
      <c r="E8" s="17">
        <v>43742.999988425923</v>
      </c>
      <c r="F8" s="416">
        <v>4</v>
      </c>
      <c r="G8" s="417">
        <v>54440</v>
      </c>
      <c r="H8" s="418">
        <v>0</v>
      </c>
      <c r="I8" s="418">
        <v>0</v>
      </c>
      <c r="J8" s="514">
        <v>3</v>
      </c>
      <c r="K8" s="428">
        <v>46485.35</v>
      </c>
      <c r="L8" s="377">
        <v>3</v>
      </c>
      <c r="M8" s="377">
        <v>3</v>
      </c>
      <c r="N8" s="448">
        <v>46485.35</v>
      </c>
      <c r="O8" s="377">
        <v>1</v>
      </c>
      <c r="P8" s="448">
        <v>6500</v>
      </c>
      <c r="Q8" s="418">
        <f t="shared" si="0"/>
        <v>0</v>
      </c>
      <c r="R8" s="377">
        <v>2</v>
      </c>
      <c r="S8" s="418">
        <v>30000</v>
      </c>
      <c r="T8" s="377">
        <v>2</v>
      </c>
      <c r="U8" s="418">
        <v>30000</v>
      </c>
      <c r="V8" s="12"/>
    </row>
    <row r="9" spans="1:23" ht="22.5" x14ac:dyDescent="0.2">
      <c r="A9" s="137" t="s">
        <v>538</v>
      </c>
      <c r="B9" s="414" t="s">
        <v>265</v>
      </c>
      <c r="C9" s="427">
        <v>31305</v>
      </c>
      <c r="D9" s="430">
        <v>6390.09</v>
      </c>
      <c r="E9" s="17">
        <v>43742.999988425923</v>
      </c>
      <c r="F9" s="416">
        <v>5</v>
      </c>
      <c r="G9" s="417">
        <v>80963</v>
      </c>
      <c r="H9" s="418">
        <v>0</v>
      </c>
      <c r="I9" s="418">
        <v>0</v>
      </c>
      <c r="J9" s="514">
        <v>2</v>
      </c>
      <c r="K9" s="428">
        <v>22140.09</v>
      </c>
      <c r="L9" s="377">
        <v>2</v>
      </c>
      <c r="M9" s="377">
        <v>2</v>
      </c>
      <c r="N9" s="448">
        <v>22140.09</v>
      </c>
      <c r="O9" s="377">
        <v>3</v>
      </c>
      <c r="P9" s="448">
        <v>52995.4</v>
      </c>
      <c r="Q9" s="418">
        <f t="shared" si="0"/>
        <v>0</v>
      </c>
      <c r="R9" s="377">
        <v>2</v>
      </c>
      <c r="S9" s="418">
        <v>14265.09</v>
      </c>
      <c r="T9" s="377">
        <v>1</v>
      </c>
      <c r="U9" s="418">
        <v>6390.09</v>
      </c>
      <c r="V9" s="12"/>
    </row>
    <row r="10" spans="1:23" ht="22.5" x14ac:dyDescent="0.2">
      <c r="A10" s="137" t="s">
        <v>539</v>
      </c>
      <c r="B10" s="414" t="s">
        <v>266</v>
      </c>
      <c r="C10" s="427">
        <v>35405</v>
      </c>
      <c r="D10" s="430">
        <v>119035.9</v>
      </c>
      <c r="E10" s="17">
        <v>43795.999988425923</v>
      </c>
      <c r="F10" s="416">
        <v>7</v>
      </c>
      <c r="G10" s="417">
        <v>202951.8</v>
      </c>
      <c r="H10" s="418">
        <v>0</v>
      </c>
      <c r="I10" s="418">
        <v>0</v>
      </c>
      <c r="J10" s="514">
        <v>4</v>
      </c>
      <c r="K10" s="428">
        <v>119035.9</v>
      </c>
      <c r="L10" s="377">
        <v>4</v>
      </c>
      <c r="M10" s="377">
        <v>4</v>
      </c>
      <c r="N10" s="448">
        <v>119035.9</v>
      </c>
      <c r="O10" s="377">
        <v>3</v>
      </c>
      <c r="P10" s="448">
        <v>83000</v>
      </c>
      <c r="Q10" s="418">
        <f t="shared" si="0"/>
        <v>0</v>
      </c>
      <c r="R10" s="377">
        <v>5</v>
      </c>
      <c r="S10" s="418">
        <v>89035.9</v>
      </c>
      <c r="T10" s="377">
        <v>5</v>
      </c>
      <c r="U10" s="418">
        <v>88658.52</v>
      </c>
      <c r="V10" s="12"/>
    </row>
    <row r="11" spans="1:23" ht="45" x14ac:dyDescent="0.2">
      <c r="A11" s="137" t="s">
        <v>242</v>
      </c>
      <c r="B11" s="414" t="s">
        <v>286</v>
      </c>
      <c r="C11" s="427">
        <v>42383</v>
      </c>
      <c r="D11" s="430">
        <v>0</v>
      </c>
      <c r="E11" s="17">
        <v>44104</v>
      </c>
      <c r="F11" s="418">
        <v>0</v>
      </c>
      <c r="G11" s="418">
        <v>0</v>
      </c>
      <c r="H11" s="418">
        <v>0</v>
      </c>
      <c r="I11" s="418">
        <v>0</v>
      </c>
      <c r="J11" s="514">
        <v>0</v>
      </c>
      <c r="K11" s="428">
        <v>0</v>
      </c>
      <c r="L11" s="418">
        <v>0</v>
      </c>
      <c r="M11" s="418">
        <v>0</v>
      </c>
      <c r="N11" s="448">
        <v>0</v>
      </c>
      <c r="O11" s="418">
        <v>0</v>
      </c>
      <c r="P11" s="418">
        <v>0</v>
      </c>
      <c r="Q11" s="418">
        <f t="shared" si="0"/>
        <v>0</v>
      </c>
      <c r="R11" s="418">
        <v>0</v>
      </c>
      <c r="S11" s="418">
        <v>0</v>
      </c>
      <c r="T11" s="418">
        <v>0</v>
      </c>
      <c r="U11" s="418">
        <v>0</v>
      </c>
      <c r="V11" s="12"/>
    </row>
    <row r="12" spans="1:23" ht="22.5" x14ac:dyDescent="0.2">
      <c r="A12" s="137" t="s">
        <v>539</v>
      </c>
      <c r="B12" s="414" t="s">
        <v>287</v>
      </c>
      <c r="C12" s="427">
        <v>42644</v>
      </c>
      <c r="D12" s="430">
        <v>224591.16</v>
      </c>
      <c r="E12" s="17">
        <v>44104</v>
      </c>
      <c r="F12" s="416">
        <v>10</v>
      </c>
      <c r="G12" s="417">
        <v>376610</v>
      </c>
      <c r="H12" s="418">
        <v>0</v>
      </c>
      <c r="I12" s="418">
        <v>0</v>
      </c>
      <c r="J12" s="514">
        <v>6</v>
      </c>
      <c r="K12" s="428">
        <v>224591.16</v>
      </c>
      <c r="L12" s="377">
        <v>6</v>
      </c>
      <c r="M12" s="377">
        <v>6</v>
      </c>
      <c r="N12" s="448">
        <v>224591.16</v>
      </c>
      <c r="O12" s="377">
        <v>4</v>
      </c>
      <c r="P12" s="448">
        <v>150300</v>
      </c>
      <c r="Q12" s="418">
        <f t="shared" si="0"/>
        <v>0</v>
      </c>
      <c r="R12" s="377">
        <v>6</v>
      </c>
      <c r="S12" s="418">
        <v>148080.71</v>
      </c>
      <c r="T12" s="377">
        <v>6</v>
      </c>
      <c r="U12" s="418">
        <v>146610.38</v>
      </c>
      <c r="V12" s="12"/>
    </row>
    <row r="13" spans="1:23" ht="22.5" x14ac:dyDescent="0.2">
      <c r="A13" s="137" t="s">
        <v>55</v>
      </c>
      <c r="B13" s="414" t="s">
        <v>288</v>
      </c>
      <c r="C13" s="427">
        <v>45062</v>
      </c>
      <c r="D13" s="430">
        <v>0</v>
      </c>
      <c r="E13" s="17">
        <v>44104</v>
      </c>
      <c r="F13" s="418">
        <v>0</v>
      </c>
      <c r="G13" s="418">
        <v>0</v>
      </c>
      <c r="H13" s="418">
        <v>0</v>
      </c>
      <c r="I13" s="418">
        <v>0</v>
      </c>
      <c r="J13" s="514">
        <v>0</v>
      </c>
      <c r="K13" s="428">
        <v>0</v>
      </c>
      <c r="L13" s="418">
        <v>0</v>
      </c>
      <c r="M13" s="418">
        <v>0</v>
      </c>
      <c r="N13" s="448">
        <v>0</v>
      </c>
      <c r="O13" s="418">
        <v>0</v>
      </c>
      <c r="P13" s="418">
        <v>0</v>
      </c>
      <c r="Q13" s="418">
        <f t="shared" si="0"/>
        <v>0</v>
      </c>
      <c r="R13" s="418">
        <v>0</v>
      </c>
      <c r="S13" s="418">
        <v>0</v>
      </c>
      <c r="T13" s="418">
        <v>0</v>
      </c>
      <c r="U13" s="418">
        <v>0</v>
      </c>
      <c r="V13" s="12"/>
    </row>
    <row r="14" spans="1:23" s="450" customFormat="1" ht="22.5" x14ac:dyDescent="0.2">
      <c r="A14" s="137" t="s">
        <v>539</v>
      </c>
      <c r="B14" s="423" t="s">
        <v>264</v>
      </c>
      <c r="C14" s="427">
        <v>45422</v>
      </c>
      <c r="D14" s="430">
        <v>0</v>
      </c>
      <c r="E14" s="17">
        <v>44104</v>
      </c>
      <c r="F14" s="418">
        <v>0</v>
      </c>
      <c r="G14" s="418">
        <v>0</v>
      </c>
      <c r="H14" s="418">
        <v>0</v>
      </c>
      <c r="I14" s="418">
        <v>0</v>
      </c>
      <c r="J14" s="514">
        <v>0</v>
      </c>
      <c r="K14" s="428">
        <v>0</v>
      </c>
      <c r="L14" s="418">
        <v>0</v>
      </c>
      <c r="M14" s="418">
        <v>0</v>
      </c>
      <c r="N14" s="448">
        <v>0</v>
      </c>
      <c r="O14" s="418">
        <v>0</v>
      </c>
      <c r="P14" s="418">
        <v>0</v>
      </c>
      <c r="Q14" s="418">
        <f t="shared" si="0"/>
        <v>0</v>
      </c>
      <c r="R14" s="418">
        <v>0</v>
      </c>
      <c r="S14" s="418">
        <v>0</v>
      </c>
      <c r="T14" s="418">
        <v>0</v>
      </c>
      <c r="U14" s="418">
        <v>0</v>
      </c>
    </row>
    <row r="15" spans="1:23" s="450" customFormat="1" ht="22.5" x14ac:dyDescent="0.2">
      <c r="A15" s="137" t="s">
        <v>539</v>
      </c>
      <c r="B15" s="423" t="s">
        <v>289</v>
      </c>
      <c r="C15" s="427">
        <v>45425</v>
      </c>
      <c r="D15" s="430">
        <v>76374.87</v>
      </c>
      <c r="E15" s="17">
        <v>44104</v>
      </c>
      <c r="F15" s="418">
        <v>4</v>
      </c>
      <c r="G15" s="418">
        <v>96692.32</v>
      </c>
      <c r="H15" s="418">
        <v>1</v>
      </c>
      <c r="I15" s="418">
        <v>16499.82</v>
      </c>
      <c r="J15" s="514">
        <v>3</v>
      </c>
      <c r="K15" s="428">
        <v>76374.87</v>
      </c>
      <c r="L15" s="377">
        <v>3</v>
      </c>
      <c r="M15" s="377">
        <v>3</v>
      </c>
      <c r="N15" s="448">
        <v>76374.86</v>
      </c>
      <c r="O15" s="377">
        <v>0</v>
      </c>
      <c r="P15" s="448">
        <v>0</v>
      </c>
      <c r="Q15" s="418">
        <f t="shared" si="0"/>
        <v>9.9999999947613105E-3</v>
      </c>
      <c r="R15" s="377">
        <v>2</v>
      </c>
      <c r="S15" s="418">
        <v>59875.040000000001</v>
      </c>
      <c r="T15" s="377">
        <v>2</v>
      </c>
      <c r="U15" s="418">
        <v>57178.53</v>
      </c>
    </row>
    <row r="16" spans="1:23" s="450" customFormat="1" ht="22.5" x14ac:dyDescent="0.2">
      <c r="A16" s="137" t="s">
        <v>245</v>
      </c>
      <c r="B16" s="423" t="s">
        <v>413</v>
      </c>
      <c r="C16" s="427">
        <v>56722</v>
      </c>
      <c r="D16" s="430">
        <v>954360</v>
      </c>
      <c r="E16" s="105">
        <v>44545</v>
      </c>
      <c r="F16" s="418">
        <v>16</v>
      </c>
      <c r="G16" s="418">
        <v>954360</v>
      </c>
      <c r="H16" s="418">
        <v>0</v>
      </c>
      <c r="I16" s="418">
        <v>0</v>
      </c>
      <c r="J16" s="514">
        <v>15</v>
      </c>
      <c r="K16" s="428">
        <v>874075.24000000011</v>
      </c>
      <c r="L16" s="418">
        <v>15</v>
      </c>
      <c r="M16" s="418">
        <v>15</v>
      </c>
      <c r="N16" s="448">
        <v>874075.24000000011</v>
      </c>
      <c r="O16" s="418">
        <v>1</v>
      </c>
      <c r="P16" s="418">
        <v>60000</v>
      </c>
      <c r="Q16" s="418">
        <f t="shared" si="0"/>
        <v>0</v>
      </c>
      <c r="R16" s="418">
        <v>14</v>
      </c>
      <c r="S16" s="418">
        <v>768821.84</v>
      </c>
      <c r="T16" s="418">
        <v>2</v>
      </c>
      <c r="U16" s="418">
        <v>117902.6</v>
      </c>
    </row>
    <row r="17" spans="1:25" s="450" customFormat="1" ht="12" x14ac:dyDescent="0.2">
      <c r="A17" s="137" t="s">
        <v>539</v>
      </c>
      <c r="B17" s="451" t="s">
        <v>489</v>
      </c>
      <c r="C17" s="427">
        <v>64866</v>
      </c>
      <c r="D17" s="430">
        <v>551890.34</v>
      </c>
      <c r="E17" s="425">
        <v>44732</v>
      </c>
      <c r="F17" s="418">
        <v>9</v>
      </c>
      <c r="G17" s="418">
        <v>580480.91999999993</v>
      </c>
      <c r="H17" s="418">
        <v>0</v>
      </c>
      <c r="I17" s="418">
        <v>0</v>
      </c>
      <c r="J17" s="514">
        <v>9</v>
      </c>
      <c r="K17" s="428">
        <v>551890.34</v>
      </c>
      <c r="L17" s="418">
        <v>9</v>
      </c>
      <c r="M17" s="418">
        <v>9</v>
      </c>
      <c r="N17" s="448">
        <v>551890.34</v>
      </c>
      <c r="O17" s="418">
        <v>0</v>
      </c>
      <c r="P17" s="418">
        <v>0</v>
      </c>
      <c r="Q17" s="418">
        <f t="shared" si="0"/>
        <v>0</v>
      </c>
      <c r="R17" s="418">
        <v>15</v>
      </c>
      <c r="S17" s="418">
        <v>506976.88999999996</v>
      </c>
      <c r="T17" s="418">
        <v>12</v>
      </c>
      <c r="U17" s="418">
        <v>425413.1</v>
      </c>
      <c r="X17" s="452"/>
      <c r="Y17" s="453"/>
    </row>
    <row r="18" spans="1:25" s="450" customFormat="1" ht="45" x14ac:dyDescent="0.2">
      <c r="A18" s="333" t="s">
        <v>275</v>
      </c>
      <c r="B18" s="426" t="s">
        <v>556</v>
      </c>
      <c r="C18" s="427">
        <v>73441</v>
      </c>
      <c r="D18" s="430">
        <v>112000</v>
      </c>
      <c r="E18" s="415">
        <v>45111</v>
      </c>
      <c r="F18" s="418">
        <v>1</v>
      </c>
      <c r="G18" s="418">
        <v>112000</v>
      </c>
      <c r="H18" s="418">
        <v>0</v>
      </c>
      <c r="I18" s="418">
        <v>0</v>
      </c>
      <c r="J18" s="514">
        <v>1</v>
      </c>
      <c r="K18" s="428">
        <v>112000</v>
      </c>
      <c r="L18" s="418">
        <v>1</v>
      </c>
      <c r="M18" s="418">
        <v>1</v>
      </c>
      <c r="N18" s="448">
        <v>112000</v>
      </c>
      <c r="O18" s="418">
        <v>0</v>
      </c>
      <c r="P18" s="418">
        <v>0</v>
      </c>
      <c r="Q18" s="418">
        <f>K18-N18</f>
        <v>0</v>
      </c>
      <c r="R18" s="418">
        <v>2</v>
      </c>
      <c r="S18" s="418">
        <v>112000</v>
      </c>
      <c r="T18" s="418">
        <v>1</v>
      </c>
      <c r="U18" s="418">
        <v>56000</v>
      </c>
      <c r="X18" s="454"/>
      <c r="Y18" s="455"/>
    </row>
    <row r="19" spans="1:25" s="450" customFormat="1" ht="22.5" x14ac:dyDescent="0.2">
      <c r="A19" s="333" t="s">
        <v>151</v>
      </c>
      <c r="B19" s="426" t="s">
        <v>557</v>
      </c>
      <c r="C19" s="427">
        <v>73465</v>
      </c>
      <c r="D19" s="430">
        <v>562141.98</v>
      </c>
      <c r="E19" s="415">
        <v>45126</v>
      </c>
      <c r="F19" s="418">
        <v>6</v>
      </c>
      <c r="G19" s="418">
        <v>844175.43</v>
      </c>
      <c r="H19" s="418">
        <v>0</v>
      </c>
      <c r="I19" s="418">
        <v>0</v>
      </c>
      <c r="J19" s="514">
        <v>4</v>
      </c>
      <c r="K19" s="448">
        <v>547181.65999999992</v>
      </c>
      <c r="L19" s="418">
        <v>4</v>
      </c>
      <c r="M19" s="418">
        <v>4</v>
      </c>
      <c r="N19" s="448">
        <v>547181.65999999992</v>
      </c>
      <c r="O19" s="418">
        <v>2</v>
      </c>
      <c r="P19" s="418">
        <v>281503.41000000003</v>
      </c>
      <c r="Q19" s="418">
        <f>K19-N19</f>
        <v>0</v>
      </c>
      <c r="R19" s="418">
        <v>4</v>
      </c>
      <c r="S19" s="418">
        <v>543474.12</v>
      </c>
      <c r="T19" s="418">
        <v>1</v>
      </c>
      <c r="U19" s="418">
        <v>134866.70000000001</v>
      </c>
      <c r="X19" s="454"/>
      <c r="Y19" s="455"/>
    </row>
    <row r="20" spans="1:25" s="450" customFormat="1" ht="33.75" x14ac:dyDescent="0.2">
      <c r="A20" s="333" t="s">
        <v>275</v>
      </c>
      <c r="B20" s="426" t="s">
        <v>575</v>
      </c>
      <c r="C20" s="427">
        <v>74681</v>
      </c>
      <c r="D20" s="430">
        <v>60000</v>
      </c>
      <c r="E20" s="415">
        <v>45145</v>
      </c>
      <c r="F20" s="418">
        <v>1</v>
      </c>
      <c r="G20" s="418">
        <v>60000</v>
      </c>
      <c r="H20" s="418">
        <v>0</v>
      </c>
      <c r="I20" s="418">
        <v>0</v>
      </c>
      <c r="J20" s="514">
        <v>1</v>
      </c>
      <c r="K20" s="428">
        <v>60000</v>
      </c>
      <c r="L20" s="418">
        <v>1</v>
      </c>
      <c r="M20" s="418">
        <v>1</v>
      </c>
      <c r="N20" s="448">
        <v>60000</v>
      </c>
      <c r="O20" s="418">
        <v>0</v>
      </c>
      <c r="P20" s="418">
        <v>0</v>
      </c>
      <c r="Q20" s="418">
        <f>K20-N20</f>
        <v>0</v>
      </c>
      <c r="R20" s="418">
        <v>2</v>
      </c>
      <c r="S20" s="418">
        <v>60000</v>
      </c>
      <c r="T20" s="418">
        <v>1</v>
      </c>
      <c r="U20" s="418">
        <v>30000</v>
      </c>
      <c r="X20" s="454"/>
      <c r="Y20" s="455"/>
    </row>
    <row r="21" spans="1:25" s="450" customFormat="1" ht="22.5" x14ac:dyDescent="0.2">
      <c r="A21" s="333" t="s">
        <v>151</v>
      </c>
      <c r="B21" s="426" t="s">
        <v>557</v>
      </c>
      <c r="C21" s="427">
        <v>78844</v>
      </c>
      <c r="D21" s="430">
        <v>427113.34</v>
      </c>
      <c r="E21" s="415">
        <v>45380</v>
      </c>
      <c r="F21" s="418">
        <v>3</v>
      </c>
      <c r="G21" s="418">
        <v>439755.94</v>
      </c>
      <c r="H21" s="418">
        <v>0</v>
      </c>
      <c r="I21" s="418">
        <v>0</v>
      </c>
      <c r="J21" s="514">
        <v>2</v>
      </c>
      <c r="K21" s="428">
        <v>282948</v>
      </c>
      <c r="L21" s="418">
        <v>2</v>
      </c>
      <c r="M21" s="418">
        <v>2</v>
      </c>
      <c r="N21" s="448">
        <v>282948</v>
      </c>
      <c r="O21" s="418">
        <v>1</v>
      </c>
      <c r="P21" s="418">
        <v>156807.94</v>
      </c>
      <c r="Q21" s="418">
        <f t="shared" ref="Q21:Q23" si="1">K21-N21</f>
        <v>0</v>
      </c>
      <c r="R21" s="418">
        <v>2</v>
      </c>
      <c r="S21" s="418">
        <v>276598.06</v>
      </c>
      <c r="T21" s="418">
        <v>0</v>
      </c>
      <c r="U21" s="418">
        <v>0</v>
      </c>
      <c r="X21" s="454"/>
      <c r="Y21" s="455"/>
    </row>
    <row r="22" spans="1:25" s="450" customFormat="1" ht="22.5" x14ac:dyDescent="0.2">
      <c r="A22" s="456" t="s">
        <v>238</v>
      </c>
      <c r="B22" s="457" t="s">
        <v>658</v>
      </c>
      <c r="C22" s="427">
        <v>79223</v>
      </c>
      <c r="D22" s="430">
        <v>1374482.59</v>
      </c>
      <c r="E22" s="433">
        <v>45411.999988425923</v>
      </c>
      <c r="F22" s="418">
        <v>17</v>
      </c>
      <c r="G22" s="418">
        <v>1304376.5</v>
      </c>
      <c r="H22" s="418">
        <v>0</v>
      </c>
      <c r="I22" s="418">
        <v>0</v>
      </c>
      <c r="J22" s="514">
        <v>16</v>
      </c>
      <c r="K22" s="448">
        <v>1164736.3299999996</v>
      </c>
      <c r="L22" s="418">
        <v>16</v>
      </c>
      <c r="M22" s="418">
        <v>16</v>
      </c>
      <c r="N22" s="448">
        <v>1164736.3299999996</v>
      </c>
      <c r="O22" s="418">
        <v>1</v>
      </c>
      <c r="P22" s="418">
        <v>76360</v>
      </c>
      <c r="Q22" s="418">
        <f t="shared" si="1"/>
        <v>0</v>
      </c>
      <c r="R22" s="418">
        <v>16</v>
      </c>
      <c r="S22" s="418">
        <v>1139761.7400000002</v>
      </c>
      <c r="T22" s="418">
        <v>0</v>
      </c>
      <c r="U22" s="418">
        <v>0</v>
      </c>
      <c r="X22" s="454"/>
      <c r="Y22" s="455"/>
    </row>
    <row r="23" spans="1:25" s="450" customFormat="1" ht="22.5" x14ac:dyDescent="0.2">
      <c r="A23" s="456" t="s">
        <v>238</v>
      </c>
      <c r="B23" s="457" t="s">
        <v>658</v>
      </c>
      <c r="C23" s="427">
        <v>84202</v>
      </c>
      <c r="D23" s="430">
        <v>370091.21</v>
      </c>
      <c r="E23" s="433">
        <v>45600</v>
      </c>
      <c r="F23" s="418">
        <v>7</v>
      </c>
      <c r="G23" s="418">
        <v>618540.65999999992</v>
      </c>
      <c r="H23" s="418">
        <v>0</v>
      </c>
      <c r="I23" s="418">
        <v>0</v>
      </c>
      <c r="J23" s="418">
        <v>7</v>
      </c>
      <c r="K23" s="428">
        <v>618540.65999999992</v>
      </c>
      <c r="L23" s="418">
        <v>6</v>
      </c>
      <c r="M23" s="418">
        <v>5</v>
      </c>
      <c r="N23" s="448">
        <v>438005.42</v>
      </c>
      <c r="O23" s="418">
        <v>0</v>
      </c>
      <c r="P23" s="418">
        <v>0</v>
      </c>
      <c r="Q23" s="418">
        <f t="shared" si="1"/>
        <v>180535.23999999993</v>
      </c>
      <c r="R23" s="418">
        <v>5</v>
      </c>
      <c r="S23" s="418">
        <v>431919.89999999997</v>
      </c>
      <c r="T23" s="418">
        <v>0</v>
      </c>
      <c r="U23" s="418">
        <v>0</v>
      </c>
      <c r="X23" s="454"/>
      <c r="Y23" s="455"/>
    </row>
    <row r="24" spans="1:25" x14ac:dyDescent="0.2">
      <c r="A24" s="19" t="s">
        <v>1</v>
      </c>
      <c r="B24" s="19"/>
      <c r="C24" s="59"/>
      <c r="D24" s="20">
        <f>SUM(D6:D23)</f>
        <v>5293471.4799999995</v>
      </c>
      <c r="E24" s="20"/>
      <c r="F24" s="20">
        <f t="shared" ref="F24:U24" si="2">SUM(F6:F23)</f>
        <v>111</v>
      </c>
      <c r="G24" s="20">
        <f t="shared" si="2"/>
        <v>6803482.2700000005</v>
      </c>
      <c r="H24" s="20">
        <f t="shared" si="2"/>
        <v>1</v>
      </c>
      <c r="I24" s="20">
        <f t="shared" si="2"/>
        <v>16499.82</v>
      </c>
      <c r="J24" s="20">
        <f t="shared" si="2"/>
        <v>86</v>
      </c>
      <c r="K24" s="20">
        <f t="shared" si="2"/>
        <v>5348211</v>
      </c>
      <c r="L24" s="20">
        <f t="shared" si="2"/>
        <v>83</v>
      </c>
      <c r="M24" s="20">
        <f t="shared" si="2"/>
        <v>82</v>
      </c>
      <c r="N24" s="20">
        <f t="shared" si="2"/>
        <v>5034524.3499999996</v>
      </c>
      <c r="O24" s="20">
        <f t="shared" si="2"/>
        <v>21</v>
      </c>
      <c r="P24" s="20">
        <f t="shared" si="2"/>
        <v>1121030.05</v>
      </c>
      <c r="Q24" s="20">
        <f t="shared" si="2"/>
        <v>313686.64999999997</v>
      </c>
      <c r="R24" s="20">
        <f t="shared" si="2"/>
        <v>97</v>
      </c>
      <c r="S24" s="20">
        <f t="shared" si="2"/>
        <v>4675845.790000001</v>
      </c>
      <c r="T24" s="20">
        <f t="shared" si="2"/>
        <v>49</v>
      </c>
      <c r="U24" s="20">
        <f t="shared" si="2"/>
        <v>1485457.42</v>
      </c>
      <c r="W24" s="92"/>
    </row>
    <row r="25" spans="1:25" customFormat="1" ht="15" customHeight="1" x14ac:dyDescent="0.25">
      <c r="A25" s="210" t="s">
        <v>390</v>
      </c>
      <c r="B25" s="134"/>
      <c r="C25" s="134"/>
      <c r="D25" s="134"/>
      <c r="E25" s="134"/>
      <c r="F25" s="134"/>
      <c r="G25" s="134"/>
      <c r="H25" s="134"/>
      <c r="I25" s="134"/>
      <c r="J25" s="134"/>
      <c r="K25" s="134"/>
      <c r="L25" s="134"/>
      <c r="M25" s="134"/>
      <c r="N25" s="306"/>
      <c r="O25" s="134"/>
      <c r="P25" s="134"/>
      <c r="Q25" s="134"/>
      <c r="R25" s="134"/>
    </row>
    <row r="26" spans="1:25" s="23" customFormat="1" ht="23.45" customHeight="1" x14ac:dyDescent="0.25">
      <c r="A26" s="1124" t="s">
        <v>744</v>
      </c>
      <c r="B26" s="1124"/>
      <c r="C26" s="1124"/>
      <c r="D26" s="1124"/>
      <c r="E26" s="1124"/>
      <c r="F26" s="1124"/>
      <c r="G26" s="1124"/>
      <c r="H26" s="1124"/>
      <c r="I26" s="1124"/>
      <c r="J26" s="1124"/>
      <c r="K26" s="1124"/>
      <c r="L26" s="1124"/>
      <c r="M26" s="1124"/>
      <c r="N26" s="1124"/>
      <c r="O26" s="1124"/>
      <c r="P26" s="1124"/>
      <c r="Q26" s="1124"/>
      <c r="R26" s="1124"/>
      <c r="S26" s="1124"/>
      <c r="T26" s="1124"/>
      <c r="U26" s="1124"/>
      <c r="V26" s="87"/>
    </row>
    <row r="27" spans="1:25" x14ac:dyDescent="0.2">
      <c r="A27" s="1125" t="s">
        <v>652</v>
      </c>
      <c r="B27" s="1125"/>
      <c r="C27" s="1126"/>
      <c r="D27" s="1125"/>
      <c r="E27" s="1125"/>
      <c r="F27" s="1125"/>
      <c r="G27" s="1125"/>
      <c r="H27" s="1126"/>
      <c r="I27" s="1126"/>
      <c r="J27" s="1125"/>
      <c r="K27" s="1125"/>
      <c r="L27" s="1125"/>
      <c r="M27" s="1125"/>
      <c r="N27" s="1125"/>
      <c r="O27" s="1125"/>
      <c r="P27" s="1125"/>
      <c r="Q27" s="1125"/>
      <c r="R27" s="1125"/>
      <c r="S27" s="1125"/>
      <c r="T27" s="1125"/>
      <c r="U27" s="1125"/>
      <c r="V27" s="12"/>
      <c r="W27" s="92"/>
    </row>
    <row r="28" spans="1:25" ht="20.25" customHeight="1" x14ac:dyDescent="0.2">
      <c r="A28" s="943" t="s">
        <v>248</v>
      </c>
      <c r="B28" s="943" t="s">
        <v>156</v>
      </c>
      <c r="C28" s="943" t="s">
        <v>282</v>
      </c>
      <c r="D28" s="943" t="s">
        <v>157</v>
      </c>
      <c r="E28" s="943" t="s">
        <v>158</v>
      </c>
      <c r="F28" s="968" t="s">
        <v>337</v>
      </c>
      <c r="G28" s="969"/>
      <c r="H28" s="968" t="s">
        <v>277</v>
      </c>
      <c r="I28" s="969"/>
      <c r="J28" s="968" t="s">
        <v>159</v>
      </c>
      <c r="K28" s="969"/>
      <c r="L28" s="947" t="s">
        <v>749</v>
      </c>
      <c r="M28" s="948"/>
      <c r="N28" s="948"/>
      <c r="O28" s="948"/>
      <c r="P28" s="949"/>
      <c r="Q28" s="943" t="s">
        <v>250</v>
      </c>
      <c r="R28" s="937" t="s">
        <v>750</v>
      </c>
      <c r="S28" s="938"/>
      <c r="T28" s="937" t="s">
        <v>751</v>
      </c>
      <c r="U28" s="938"/>
      <c r="W28" s="92"/>
    </row>
    <row r="29" spans="1:25" ht="10.15" customHeight="1" x14ac:dyDescent="0.2">
      <c r="A29" s="944"/>
      <c r="B29" s="944"/>
      <c r="C29" s="944"/>
      <c r="D29" s="944"/>
      <c r="E29" s="944"/>
      <c r="F29" s="939"/>
      <c r="G29" s="940"/>
      <c r="H29" s="939"/>
      <c r="I29" s="940"/>
      <c r="J29" s="939"/>
      <c r="K29" s="940"/>
      <c r="L29" s="975" t="s">
        <v>160</v>
      </c>
      <c r="M29" s="948"/>
      <c r="N29" s="949"/>
      <c r="O29" s="968" t="s">
        <v>626</v>
      </c>
      <c r="P29" s="969"/>
      <c r="Q29" s="944"/>
      <c r="R29" s="939"/>
      <c r="S29" s="940"/>
      <c r="T29" s="939"/>
      <c r="U29" s="940"/>
      <c r="W29" s="92"/>
    </row>
    <row r="30" spans="1:25" ht="21" customHeight="1" x14ac:dyDescent="0.2">
      <c r="A30" s="944"/>
      <c r="B30" s="944"/>
      <c r="C30" s="944"/>
      <c r="D30" s="944"/>
      <c r="E30" s="944"/>
      <c r="F30" s="941"/>
      <c r="G30" s="942"/>
      <c r="H30" s="941"/>
      <c r="I30" s="942"/>
      <c r="J30" s="941"/>
      <c r="K30" s="942"/>
      <c r="L30" s="950" t="s">
        <v>161</v>
      </c>
      <c r="M30" s="975" t="s">
        <v>247</v>
      </c>
      <c r="N30" s="949"/>
      <c r="O30" s="941"/>
      <c r="P30" s="942"/>
      <c r="Q30" s="946"/>
      <c r="R30" s="941"/>
      <c r="S30" s="942"/>
      <c r="T30" s="941"/>
      <c r="U30" s="942"/>
      <c r="W30" s="92"/>
    </row>
    <row r="31" spans="1:25" ht="21" x14ac:dyDescent="0.2">
      <c r="A31" s="946"/>
      <c r="B31" s="946"/>
      <c r="C31" s="946"/>
      <c r="D31" s="946"/>
      <c r="E31" s="946"/>
      <c r="F31" s="122" t="s">
        <v>161</v>
      </c>
      <c r="G31" s="123" t="s">
        <v>162</v>
      </c>
      <c r="H31" s="15" t="s">
        <v>161</v>
      </c>
      <c r="I31" s="16" t="s">
        <v>162</v>
      </c>
      <c r="J31" s="122" t="s">
        <v>161</v>
      </c>
      <c r="K31" s="123" t="s">
        <v>162</v>
      </c>
      <c r="L31" s="1119"/>
      <c r="M31" s="154" t="s">
        <v>161</v>
      </c>
      <c r="N31" s="125" t="s">
        <v>162</v>
      </c>
      <c r="O31" s="154" t="s">
        <v>161</v>
      </c>
      <c r="P31" s="125" t="s">
        <v>162</v>
      </c>
      <c r="Q31" s="16" t="s">
        <v>162</v>
      </c>
      <c r="R31" s="15" t="s">
        <v>161</v>
      </c>
      <c r="S31" s="16" t="s">
        <v>162</v>
      </c>
      <c r="T31" s="77" t="s">
        <v>161</v>
      </c>
      <c r="U31" s="78" t="s">
        <v>162</v>
      </c>
      <c r="W31" s="92"/>
    </row>
    <row r="32" spans="1:25" ht="22.5" x14ac:dyDescent="0.2">
      <c r="A32" s="333" t="s">
        <v>539</v>
      </c>
      <c r="B32" s="414" t="s">
        <v>326</v>
      </c>
      <c r="C32" s="427">
        <v>49102</v>
      </c>
      <c r="D32" s="98">
        <v>330000</v>
      </c>
      <c r="E32" s="17">
        <v>44227</v>
      </c>
      <c r="F32" s="458">
        <v>5</v>
      </c>
      <c r="G32" s="342">
        <v>208137.5</v>
      </c>
      <c r="H32" s="418">
        <v>0</v>
      </c>
      <c r="I32" s="418">
        <v>0</v>
      </c>
      <c r="J32" s="458">
        <v>5</v>
      </c>
      <c r="K32" s="417">
        <v>203880.62</v>
      </c>
      <c r="L32" s="418">
        <v>5</v>
      </c>
      <c r="M32" s="418">
        <v>5</v>
      </c>
      <c r="N32" s="448">
        <v>203880.62</v>
      </c>
      <c r="O32" s="418">
        <v>0</v>
      </c>
      <c r="P32" s="418">
        <v>0</v>
      </c>
      <c r="Q32" s="417">
        <f t="shared" ref="Q32:Q40" si="3">K32-N32</f>
        <v>0</v>
      </c>
      <c r="R32" s="418">
        <v>10</v>
      </c>
      <c r="S32" s="418">
        <v>166500.51999999999</v>
      </c>
      <c r="T32" s="418">
        <v>8</v>
      </c>
      <c r="U32" s="418">
        <v>140837.81999999998</v>
      </c>
      <c r="V32" s="12"/>
    </row>
    <row r="33" spans="1:23" ht="22.5" x14ac:dyDescent="0.2">
      <c r="A33" s="333" t="s">
        <v>538</v>
      </c>
      <c r="B33" s="414" t="s">
        <v>327</v>
      </c>
      <c r="C33" s="427">
        <v>48962</v>
      </c>
      <c r="D33" s="98">
        <v>390000</v>
      </c>
      <c r="E33" s="17">
        <v>44227</v>
      </c>
      <c r="F33" s="418">
        <v>3</v>
      </c>
      <c r="G33" s="418">
        <v>288625</v>
      </c>
      <c r="H33" s="418">
        <v>0</v>
      </c>
      <c r="I33" s="418">
        <v>0</v>
      </c>
      <c r="J33" s="418">
        <v>3</v>
      </c>
      <c r="K33" s="417">
        <v>282020.77</v>
      </c>
      <c r="L33" s="418">
        <v>3</v>
      </c>
      <c r="M33" s="418">
        <v>3</v>
      </c>
      <c r="N33" s="448">
        <v>282020.77</v>
      </c>
      <c r="O33" s="418">
        <v>0</v>
      </c>
      <c r="P33" s="418">
        <v>0</v>
      </c>
      <c r="Q33" s="417">
        <f t="shared" si="3"/>
        <v>0</v>
      </c>
      <c r="R33" s="418">
        <v>4</v>
      </c>
      <c r="S33" s="418">
        <v>281753.27</v>
      </c>
      <c r="T33" s="418">
        <v>3</v>
      </c>
      <c r="U33" s="418">
        <v>154785.66</v>
      </c>
      <c r="V33" s="12"/>
    </row>
    <row r="34" spans="1:23" s="92" customFormat="1" ht="22.5" x14ac:dyDescent="0.2">
      <c r="A34" s="257" t="s">
        <v>538</v>
      </c>
      <c r="B34" s="236" t="s">
        <v>328</v>
      </c>
      <c r="C34" s="146">
        <v>49081</v>
      </c>
      <c r="D34" s="159">
        <v>1125738.79</v>
      </c>
      <c r="E34" s="2">
        <v>44227</v>
      </c>
      <c r="F34" s="342">
        <v>30</v>
      </c>
      <c r="G34" s="342">
        <v>1677702.75</v>
      </c>
      <c r="H34" s="342">
        <v>2</v>
      </c>
      <c r="I34" s="342">
        <v>113851.5</v>
      </c>
      <c r="J34" s="342">
        <v>18</v>
      </c>
      <c r="K34" s="352">
        <v>983412.97999999986</v>
      </c>
      <c r="L34" s="342">
        <v>15</v>
      </c>
      <c r="M34" s="342">
        <v>15</v>
      </c>
      <c r="N34" s="365">
        <v>818412.97999999986</v>
      </c>
      <c r="O34" s="342">
        <v>10</v>
      </c>
      <c r="P34" s="342">
        <v>553893.75</v>
      </c>
      <c r="Q34" s="366">
        <f>K34-N34</f>
        <v>165000</v>
      </c>
      <c r="R34" s="342">
        <v>16</v>
      </c>
      <c r="S34" s="342">
        <v>502387.06</v>
      </c>
      <c r="T34" s="342">
        <v>8</v>
      </c>
      <c r="U34" s="342">
        <v>237604.77</v>
      </c>
    </row>
    <row r="35" spans="1:23" ht="33.75" x14ac:dyDescent="0.2">
      <c r="A35" s="333" t="s">
        <v>538</v>
      </c>
      <c r="B35" s="414" t="s">
        <v>329</v>
      </c>
      <c r="C35" s="427">
        <v>49101</v>
      </c>
      <c r="D35" s="98">
        <v>797004.93</v>
      </c>
      <c r="E35" s="17">
        <v>44227</v>
      </c>
      <c r="F35" s="418">
        <v>16</v>
      </c>
      <c r="G35" s="418">
        <v>971274.5</v>
      </c>
      <c r="H35" s="418">
        <v>0</v>
      </c>
      <c r="I35" s="418">
        <v>0</v>
      </c>
      <c r="J35" s="418">
        <v>11</v>
      </c>
      <c r="K35" s="448">
        <v>689017.71</v>
      </c>
      <c r="L35" s="418">
        <v>11</v>
      </c>
      <c r="M35" s="418">
        <v>11</v>
      </c>
      <c r="N35" s="448">
        <v>689017.71</v>
      </c>
      <c r="O35" s="418">
        <v>5</v>
      </c>
      <c r="P35" s="418">
        <v>244650</v>
      </c>
      <c r="Q35" s="417">
        <f t="shared" si="3"/>
        <v>0</v>
      </c>
      <c r="R35" s="418">
        <v>16</v>
      </c>
      <c r="S35" s="418">
        <v>560962.03</v>
      </c>
      <c r="T35" s="418">
        <v>12</v>
      </c>
      <c r="U35" s="418">
        <v>371861.81999999995</v>
      </c>
      <c r="V35" s="12"/>
    </row>
    <row r="36" spans="1:23" ht="22.5" x14ac:dyDescent="0.2">
      <c r="A36" s="333" t="s">
        <v>245</v>
      </c>
      <c r="B36" s="414" t="s">
        <v>389</v>
      </c>
      <c r="C36" s="427">
        <v>53361</v>
      </c>
      <c r="D36" s="98">
        <v>200000</v>
      </c>
      <c r="E36" s="17">
        <v>44397</v>
      </c>
      <c r="F36" s="418">
        <v>1</v>
      </c>
      <c r="G36" s="418">
        <v>200000</v>
      </c>
      <c r="H36" s="418">
        <v>0</v>
      </c>
      <c r="I36" s="418">
        <v>0</v>
      </c>
      <c r="J36" s="418">
        <v>1</v>
      </c>
      <c r="K36" s="448">
        <v>198970</v>
      </c>
      <c r="L36" s="418">
        <v>1</v>
      </c>
      <c r="M36" s="418">
        <v>1</v>
      </c>
      <c r="N36" s="448">
        <v>198970</v>
      </c>
      <c r="O36" s="418">
        <v>0</v>
      </c>
      <c r="P36" s="418">
        <v>0</v>
      </c>
      <c r="Q36" s="417">
        <f t="shared" si="3"/>
        <v>0</v>
      </c>
      <c r="R36" s="418">
        <v>0</v>
      </c>
      <c r="S36" s="418">
        <v>0</v>
      </c>
      <c r="T36" s="418">
        <v>0</v>
      </c>
      <c r="U36" s="418">
        <v>0</v>
      </c>
      <c r="V36" s="12"/>
    </row>
    <row r="37" spans="1:23" ht="20.45" customHeight="1" x14ac:dyDescent="0.2">
      <c r="A37" s="333" t="s">
        <v>242</v>
      </c>
      <c r="B37" s="414" t="s">
        <v>388</v>
      </c>
      <c r="C37" s="427">
        <v>52501</v>
      </c>
      <c r="D37" s="98">
        <v>222750</v>
      </c>
      <c r="E37" s="17">
        <v>44397</v>
      </c>
      <c r="F37" s="418">
        <v>20</v>
      </c>
      <c r="G37" s="418">
        <v>815827.8</v>
      </c>
      <c r="H37" s="418">
        <v>1</v>
      </c>
      <c r="I37" s="418">
        <v>40000</v>
      </c>
      <c r="J37" s="418">
        <v>8</v>
      </c>
      <c r="K37" s="448">
        <v>320000</v>
      </c>
      <c r="L37" s="418">
        <v>8</v>
      </c>
      <c r="M37" s="418">
        <v>8</v>
      </c>
      <c r="N37" s="448">
        <v>320000</v>
      </c>
      <c r="O37" s="418">
        <v>11</v>
      </c>
      <c r="P37" s="418">
        <v>445465</v>
      </c>
      <c r="Q37" s="417">
        <f t="shared" si="3"/>
        <v>0</v>
      </c>
      <c r="R37" s="418">
        <v>6</v>
      </c>
      <c r="S37" s="418">
        <v>136000</v>
      </c>
      <c r="T37" s="418">
        <v>4</v>
      </c>
      <c r="U37" s="418">
        <v>112000</v>
      </c>
      <c r="V37" s="12"/>
    </row>
    <row r="38" spans="1:23" ht="20.45" customHeight="1" x14ac:dyDescent="0.2">
      <c r="A38" s="333" t="s">
        <v>275</v>
      </c>
      <c r="B38" s="414" t="s">
        <v>501</v>
      </c>
      <c r="C38" s="449">
        <v>61903</v>
      </c>
      <c r="D38" s="98">
        <v>330000</v>
      </c>
      <c r="E38" s="17">
        <v>44683</v>
      </c>
      <c r="F38" s="418">
        <v>4</v>
      </c>
      <c r="G38" s="418">
        <v>155746</v>
      </c>
      <c r="H38" s="418">
        <v>0</v>
      </c>
      <c r="I38" s="418">
        <v>0</v>
      </c>
      <c r="J38" s="418">
        <v>3</v>
      </c>
      <c r="K38" s="418">
        <f>155746-P38</f>
        <v>144946</v>
      </c>
      <c r="L38" s="418">
        <v>3</v>
      </c>
      <c r="M38" s="418">
        <v>3</v>
      </c>
      <c r="N38" s="448">
        <v>144946</v>
      </c>
      <c r="O38" s="418">
        <v>1</v>
      </c>
      <c r="P38" s="418">
        <v>10800</v>
      </c>
      <c r="Q38" s="417">
        <f t="shared" si="3"/>
        <v>0</v>
      </c>
      <c r="R38" s="418">
        <v>2</v>
      </c>
      <c r="S38" s="418">
        <v>66980</v>
      </c>
      <c r="T38" s="418">
        <v>0</v>
      </c>
      <c r="U38" s="418">
        <v>0</v>
      </c>
      <c r="V38" s="12"/>
    </row>
    <row r="39" spans="1:23" ht="20.45" customHeight="1" x14ac:dyDescent="0.2">
      <c r="A39" s="456" t="s">
        <v>151</v>
      </c>
      <c r="B39" s="431" t="s">
        <v>662</v>
      </c>
      <c r="C39" s="459">
        <v>82942</v>
      </c>
      <c r="D39" s="428">
        <v>100000</v>
      </c>
      <c r="E39" s="460">
        <v>45548</v>
      </c>
      <c r="F39" s="418">
        <v>1</v>
      </c>
      <c r="G39" s="418">
        <v>100000</v>
      </c>
      <c r="H39" s="418">
        <v>0</v>
      </c>
      <c r="I39" s="418">
        <v>0</v>
      </c>
      <c r="J39" s="418">
        <v>1</v>
      </c>
      <c r="K39" s="418">
        <v>100000</v>
      </c>
      <c r="L39" s="418">
        <v>0</v>
      </c>
      <c r="M39" s="418">
        <v>0</v>
      </c>
      <c r="N39" s="418">
        <v>0</v>
      </c>
      <c r="O39" s="418">
        <v>0</v>
      </c>
      <c r="P39" s="418">
        <v>0</v>
      </c>
      <c r="Q39" s="417">
        <f t="shared" si="3"/>
        <v>100000</v>
      </c>
      <c r="R39" s="418">
        <v>0</v>
      </c>
      <c r="S39" s="418">
        <v>0</v>
      </c>
      <c r="T39" s="418">
        <v>0</v>
      </c>
      <c r="U39" s="418">
        <v>0</v>
      </c>
      <c r="V39" s="12"/>
    </row>
    <row r="40" spans="1:23" ht="33.75" x14ac:dyDescent="0.2">
      <c r="A40" s="456" t="s">
        <v>245</v>
      </c>
      <c r="B40" s="431" t="s">
        <v>663</v>
      </c>
      <c r="C40" s="459">
        <v>83102</v>
      </c>
      <c r="D40" s="428">
        <v>1000000</v>
      </c>
      <c r="E40" s="460">
        <v>45544</v>
      </c>
      <c r="F40" s="418">
        <v>11</v>
      </c>
      <c r="G40" s="418">
        <v>968300.1</v>
      </c>
      <c r="H40" s="418">
        <v>0</v>
      </c>
      <c r="I40" s="418">
        <v>0</v>
      </c>
      <c r="J40" s="418">
        <v>11</v>
      </c>
      <c r="K40" s="418">
        <v>968300.1</v>
      </c>
      <c r="L40" s="418">
        <v>3</v>
      </c>
      <c r="M40" s="418">
        <v>0</v>
      </c>
      <c r="N40" s="418">
        <v>0</v>
      </c>
      <c r="O40" s="418">
        <v>0</v>
      </c>
      <c r="P40" s="418">
        <v>0</v>
      </c>
      <c r="Q40" s="417">
        <f t="shared" si="3"/>
        <v>968300.1</v>
      </c>
      <c r="R40" s="418">
        <v>0</v>
      </c>
      <c r="S40" s="418">
        <v>0</v>
      </c>
      <c r="T40" s="418">
        <v>0</v>
      </c>
      <c r="U40" s="418">
        <v>0</v>
      </c>
      <c r="V40" s="12"/>
    </row>
    <row r="41" spans="1:23" x14ac:dyDescent="0.2">
      <c r="A41" s="19" t="s">
        <v>1</v>
      </c>
      <c r="B41" s="19"/>
      <c r="C41" s="59"/>
      <c r="D41" s="20">
        <f>SUM(D32:D40)</f>
        <v>4495493.7200000007</v>
      </c>
      <c r="E41" s="20"/>
      <c r="F41" s="20">
        <f t="shared" ref="F41:U41" si="4">SUM(F32:F40)</f>
        <v>91</v>
      </c>
      <c r="G41" s="20">
        <f t="shared" si="4"/>
        <v>5385613.6499999994</v>
      </c>
      <c r="H41" s="20">
        <f t="shared" si="4"/>
        <v>3</v>
      </c>
      <c r="I41" s="20">
        <f t="shared" si="4"/>
        <v>153851.5</v>
      </c>
      <c r="J41" s="20">
        <f t="shared" si="4"/>
        <v>61</v>
      </c>
      <c r="K41" s="20">
        <f t="shared" si="4"/>
        <v>3890548.18</v>
      </c>
      <c r="L41" s="20">
        <f t="shared" si="4"/>
        <v>49</v>
      </c>
      <c r="M41" s="20">
        <f t="shared" si="4"/>
        <v>46</v>
      </c>
      <c r="N41" s="20">
        <f t="shared" si="4"/>
        <v>2657248.08</v>
      </c>
      <c r="O41" s="20">
        <f t="shared" si="4"/>
        <v>27</v>
      </c>
      <c r="P41" s="20">
        <f t="shared" si="4"/>
        <v>1254808.75</v>
      </c>
      <c r="Q41" s="20">
        <f t="shared" si="4"/>
        <v>1233300.1000000001</v>
      </c>
      <c r="R41" s="20">
        <f t="shared" si="4"/>
        <v>54</v>
      </c>
      <c r="S41" s="20">
        <f t="shared" si="4"/>
        <v>1714582.8800000001</v>
      </c>
      <c r="T41" s="490">
        <f t="shared" si="4"/>
        <v>35</v>
      </c>
      <c r="U41" s="490">
        <f t="shared" si="4"/>
        <v>1017090.07</v>
      </c>
      <c r="V41" s="12"/>
      <c r="W41" s="92"/>
    </row>
    <row r="42" spans="1:23" customFormat="1" ht="15" customHeight="1" x14ac:dyDescent="0.25">
      <c r="A42" s="210" t="s">
        <v>390</v>
      </c>
      <c r="B42" s="134"/>
      <c r="C42" s="134"/>
      <c r="D42" s="134"/>
      <c r="E42" s="134"/>
      <c r="F42" s="134"/>
      <c r="G42" s="134"/>
      <c r="H42" s="134"/>
      <c r="I42" s="134"/>
      <c r="J42" s="134"/>
      <c r="K42" s="134"/>
      <c r="L42" s="134"/>
      <c r="M42" s="134"/>
      <c r="N42" s="306"/>
      <c r="O42" s="134"/>
      <c r="P42" s="134"/>
      <c r="Q42" s="134"/>
      <c r="R42" s="134"/>
    </row>
    <row r="43" spans="1:23" s="23" customFormat="1" ht="22.9" customHeight="1" x14ac:dyDescent="0.25">
      <c r="A43" s="1124" t="s">
        <v>744</v>
      </c>
      <c r="B43" s="1124"/>
      <c r="C43" s="1124"/>
      <c r="D43" s="1124"/>
      <c r="E43" s="1124"/>
      <c r="F43" s="1124"/>
      <c r="G43" s="1124"/>
      <c r="H43" s="1124"/>
      <c r="I43" s="1124"/>
      <c r="J43" s="1124"/>
      <c r="K43" s="1124"/>
      <c r="L43" s="1124"/>
      <c r="M43" s="1124"/>
      <c r="N43" s="1124"/>
      <c r="O43" s="1124"/>
      <c r="P43" s="1124"/>
      <c r="Q43" s="1124"/>
      <c r="R43" s="1124"/>
      <c r="S43" s="1124"/>
      <c r="T43" s="1124"/>
      <c r="U43" s="1124"/>
      <c r="V43" s="87"/>
    </row>
  </sheetData>
  <mergeCells count="36">
    <mergeCell ref="H28:I30"/>
    <mergeCell ref="C2:C5"/>
    <mergeCell ref="H2:I4"/>
    <mergeCell ref="O3:P4"/>
    <mergeCell ref="M4:N4"/>
    <mergeCell ref="L4:L5"/>
    <mergeCell ref="A26:U26"/>
    <mergeCell ref="A27:U27"/>
    <mergeCell ref="A43:U43"/>
    <mergeCell ref="E28:E31"/>
    <mergeCell ref="F28:G30"/>
    <mergeCell ref="J28:K30"/>
    <mergeCell ref="L28:P28"/>
    <mergeCell ref="Q28:Q30"/>
    <mergeCell ref="L29:N29"/>
    <mergeCell ref="O29:P30"/>
    <mergeCell ref="L30:L31"/>
    <mergeCell ref="M30:N30"/>
    <mergeCell ref="A28:A31"/>
    <mergeCell ref="B28:B31"/>
    <mergeCell ref="D28:D31"/>
    <mergeCell ref="C28:C31"/>
    <mergeCell ref="R28:S30"/>
    <mergeCell ref="T28:U30"/>
    <mergeCell ref="A1:U1"/>
    <mergeCell ref="A2:A5"/>
    <mergeCell ref="B2:B5"/>
    <mergeCell ref="D2:D5"/>
    <mergeCell ref="E2:E5"/>
    <mergeCell ref="F2:G4"/>
    <mergeCell ref="J2:K4"/>
    <mergeCell ref="L2:P2"/>
    <mergeCell ref="Q2:Q4"/>
    <mergeCell ref="R2:S4"/>
    <mergeCell ref="T2:U4"/>
    <mergeCell ref="L3:N3"/>
  </mergeCells>
  <printOptions horizontalCentered="1"/>
  <pageMargins left="0.51181102362204722" right="0.51181102362204722" top="0.74803149606299213" bottom="0.74803149606299213" header="0.31496062992125984" footer="0.31496062992125984"/>
  <pageSetup paperSize="9" scale="75" orientation="landscape" r:id="rId1"/>
  <rowBreaks count="1" manualBreakCount="1">
    <brk id="26" max="2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DA8D-3041-48BB-8275-00B9C2A37D9C}">
  <dimension ref="A1:I11"/>
  <sheetViews>
    <sheetView zoomScaleNormal="100" zoomScaleSheetLayoutView="100" workbookViewId="0">
      <selection activeCell="I8" sqref="I8"/>
    </sheetView>
  </sheetViews>
  <sheetFormatPr defaultRowHeight="15" x14ac:dyDescent="0.25"/>
  <cols>
    <col min="1" max="1" width="10.85546875" customWidth="1"/>
    <col min="2" max="2" width="30.7109375" customWidth="1"/>
    <col min="3" max="4" width="13.7109375" customWidth="1"/>
    <col min="5" max="5" width="14" customWidth="1"/>
    <col min="6" max="6" width="10.42578125" customWidth="1"/>
    <col min="7" max="7" width="11.85546875" customWidth="1"/>
    <col min="8" max="8" width="9.85546875" customWidth="1"/>
    <col min="9" max="9" width="11.7109375" customWidth="1"/>
  </cols>
  <sheetData>
    <row r="1" spans="1:9" x14ac:dyDescent="0.25">
      <c r="A1" s="805" t="s">
        <v>767</v>
      </c>
      <c r="B1" s="805"/>
      <c r="C1" s="854"/>
      <c r="D1" s="854"/>
      <c r="E1" s="854"/>
      <c r="F1" s="854"/>
      <c r="G1" s="854"/>
      <c r="H1" s="854"/>
    </row>
    <row r="2" spans="1:9" x14ac:dyDescent="0.25">
      <c r="A2" s="789" t="s">
        <v>115</v>
      </c>
      <c r="B2" s="789" t="s">
        <v>0</v>
      </c>
      <c r="C2" s="802" t="s">
        <v>732</v>
      </c>
      <c r="D2" s="803"/>
      <c r="E2" s="803"/>
      <c r="F2" s="803"/>
      <c r="G2" s="803"/>
      <c r="H2" s="804"/>
      <c r="I2" s="789" t="s">
        <v>731</v>
      </c>
    </row>
    <row r="3" spans="1:9" ht="39" customHeight="1" x14ac:dyDescent="0.25">
      <c r="A3" s="790"/>
      <c r="B3" s="791"/>
      <c r="C3" s="251" t="s">
        <v>502</v>
      </c>
      <c r="D3" s="252" t="s">
        <v>508</v>
      </c>
      <c r="E3" s="252" t="s">
        <v>284</v>
      </c>
      <c r="F3" s="251" t="s">
        <v>503</v>
      </c>
      <c r="G3" s="251" t="s">
        <v>509</v>
      </c>
      <c r="H3" s="250" t="s">
        <v>504</v>
      </c>
      <c r="I3" s="790"/>
    </row>
    <row r="4" spans="1:9" ht="12.75" customHeight="1" x14ac:dyDescent="0.25">
      <c r="A4" s="791"/>
      <c r="B4" s="195"/>
      <c r="C4" s="546" t="s">
        <v>305</v>
      </c>
      <c r="D4" s="546" t="s">
        <v>306</v>
      </c>
      <c r="E4" s="546" t="s">
        <v>307</v>
      </c>
      <c r="F4" s="546" t="s">
        <v>505</v>
      </c>
      <c r="G4" s="546" t="s">
        <v>309</v>
      </c>
      <c r="H4" s="548" t="s">
        <v>506</v>
      </c>
      <c r="I4" s="546" t="s">
        <v>637</v>
      </c>
    </row>
    <row r="5" spans="1:9" ht="22.5" x14ac:dyDescent="0.25">
      <c r="A5" s="91" t="s">
        <v>134</v>
      </c>
      <c r="B5" s="63" t="s">
        <v>10</v>
      </c>
      <c r="C5" s="245">
        <v>6227346.3799999999</v>
      </c>
      <c r="D5" s="245">
        <v>6227346.3799999999</v>
      </c>
      <c r="E5" s="245">
        <f>'M04'!M9</f>
        <v>4934947.7300000004</v>
      </c>
      <c r="F5" s="498">
        <f>E5/C5</f>
        <v>0.79246398527778705</v>
      </c>
      <c r="G5" s="245">
        <f>'M04'!U9</f>
        <v>3161193.58</v>
      </c>
      <c r="H5" s="254">
        <f>G5/C5</f>
        <v>0.50763092127854303</v>
      </c>
      <c r="I5" s="245">
        <f>C5-G5</f>
        <v>3066152.8</v>
      </c>
    </row>
    <row r="6" spans="1:9" ht="22.5" x14ac:dyDescent="0.25">
      <c r="A6" s="91" t="s">
        <v>139</v>
      </c>
      <c r="B6" s="63" t="s">
        <v>18</v>
      </c>
      <c r="C6" s="245">
        <v>28000000</v>
      </c>
      <c r="D6" s="245">
        <v>28000000</v>
      </c>
      <c r="E6" s="245">
        <f>'M06'!M8</f>
        <v>27685000</v>
      </c>
      <c r="F6" s="498">
        <f>E6/C6</f>
        <v>0.98875000000000002</v>
      </c>
      <c r="G6" s="635">
        <f>'M06'!U8+5023500</f>
        <v>24752858.600000001</v>
      </c>
      <c r="H6" s="254">
        <f>G6/C6</f>
        <v>0.88403066428571431</v>
      </c>
      <c r="I6" s="245">
        <f>C6-G6</f>
        <v>3247141.3999999985</v>
      </c>
    </row>
    <row r="7" spans="1:9" x14ac:dyDescent="0.25">
      <c r="A7" s="91" t="s">
        <v>117</v>
      </c>
      <c r="B7" s="65" t="s">
        <v>36</v>
      </c>
      <c r="C7" s="245">
        <v>28004192.489999998</v>
      </c>
      <c r="D7" s="245">
        <v>28004192.489999998</v>
      </c>
      <c r="E7" s="245">
        <v>28004192.489999998</v>
      </c>
      <c r="F7" s="499">
        <f>E7/C7</f>
        <v>1</v>
      </c>
      <c r="G7" s="635">
        <v>27483428.790000003</v>
      </c>
      <c r="H7" s="277">
        <f>G7/C7</f>
        <v>0.98140408082875608</v>
      </c>
      <c r="I7" s="245">
        <f>C7-G7</f>
        <v>520763.69999999553</v>
      </c>
    </row>
    <row r="8" spans="1:9" x14ac:dyDescent="0.25">
      <c r="A8" s="149" t="s">
        <v>128</v>
      </c>
      <c r="B8" s="150"/>
      <c r="C8" s="53">
        <f>SUM(C5:C7)</f>
        <v>62231538.870000005</v>
      </c>
      <c r="D8" s="53">
        <f>SUM(D5:D7)</f>
        <v>62231538.870000005</v>
      </c>
      <c r="E8" s="53">
        <f>SUM(E5:E7)</f>
        <v>60624140.219999999</v>
      </c>
      <c r="F8" s="54">
        <f>E8/C8</f>
        <v>0.97417067488307141</v>
      </c>
      <c r="G8" s="53">
        <f>SUM(G5:G7)</f>
        <v>55397480.969999999</v>
      </c>
      <c r="H8" s="255">
        <f>G8/C8</f>
        <v>0.89018336965318878</v>
      </c>
      <c r="I8" s="53">
        <f>SUM(I5:I7)</f>
        <v>6834057.8999999939</v>
      </c>
    </row>
    <row r="9" spans="1:9" ht="22.15" customHeight="1" x14ac:dyDescent="0.25">
      <c r="A9" s="807" t="s">
        <v>583</v>
      </c>
      <c r="B9" s="807"/>
      <c r="C9" s="807"/>
      <c r="D9" s="807"/>
      <c r="E9" s="807"/>
      <c r="F9" s="807"/>
      <c r="G9" s="807"/>
      <c r="H9" s="807"/>
      <c r="I9" s="807"/>
    </row>
    <row r="10" spans="1:9" ht="22.15" customHeight="1" x14ac:dyDescent="0.25">
      <c r="A10" s="808" t="s">
        <v>746</v>
      </c>
      <c r="B10" s="808"/>
      <c r="C10" s="808"/>
      <c r="D10" s="808"/>
      <c r="E10" s="808"/>
      <c r="F10" s="808"/>
      <c r="G10" s="808"/>
      <c r="H10" s="808"/>
    </row>
    <row r="11" spans="1:9" ht="22.15" customHeight="1" x14ac:dyDescent="0.25">
      <c r="A11" s="781" t="s">
        <v>742</v>
      </c>
      <c r="B11" s="781"/>
      <c r="C11" s="781"/>
      <c r="D11" s="781"/>
      <c r="E11" s="781"/>
      <c r="F11" s="781"/>
      <c r="G11" s="781"/>
      <c r="H11" s="781"/>
      <c r="I11" s="781"/>
    </row>
  </sheetData>
  <mergeCells count="8">
    <mergeCell ref="A11:I11"/>
    <mergeCell ref="I2:I3"/>
    <mergeCell ref="A1:H1"/>
    <mergeCell ref="A2:A4"/>
    <mergeCell ref="B2:B3"/>
    <mergeCell ref="A10:H10"/>
    <mergeCell ref="C2:H2"/>
    <mergeCell ref="A9:I9"/>
  </mergeCell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W42"/>
  <sheetViews>
    <sheetView view="pageBreakPreview" topLeftCell="C31" zoomScaleNormal="100" zoomScaleSheetLayoutView="100" workbookViewId="0">
      <selection activeCell="R37" sqref="R37:S37"/>
    </sheetView>
  </sheetViews>
  <sheetFormatPr defaultColWidth="8.7109375" defaultRowHeight="11.25" x14ac:dyDescent="0.2"/>
  <cols>
    <col min="1" max="1" width="6.5703125" style="12" customWidth="1"/>
    <col min="2" max="2" width="27" style="12" customWidth="1"/>
    <col min="3" max="3" width="5.85546875" style="12" customWidth="1"/>
    <col min="4" max="4" width="8.28515625" style="12" customWidth="1"/>
    <col min="5" max="5" width="9.85546875" style="12" customWidth="1"/>
    <col min="6" max="6" width="3.28515625" style="12" bestFit="1" customWidth="1"/>
    <col min="7" max="7" width="8.5703125" style="12" customWidth="1"/>
    <col min="8" max="8" width="3.140625" style="12" bestFit="1" customWidth="1"/>
    <col min="9" max="9" width="7.28515625" style="12" customWidth="1"/>
    <col min="10" max="10" width="3.28515625" style="12" bestFit="1" customWidth="1"/>
    <col min="11" max="11" width="7.85546875" style="12" customWidth="1"/>
    <col min="12" max="12" width="3.140625" style="12" bestFit="1" customWidth="1"/>
    <col min="13" max="13" width="3.28515625" style="12" customWidth="1"/>
    <col min="14" max="14" width="7.42578125" style="12" customWidth="1"/>
    <col min="15" max="15" width="3.85546875" style="12" customWidth="1"/>
    <col min="16" max="16" width="7.5703125" style="12" customWidth="1"/>
    <col min="17" max="17" width="8.5703125" style="12" customWidth="1"/>
    <col min="18" max="18" width="3.28515625" style="12" bestFit="1" customWidth="1"/>
    <col min="19" max="19" width="8.5703125" style="12" customWidth="1"/>
    <col min="20" max="20" width="3.28515625" style="12" bestFit="1" customWidth="1"/>
    <col min="21" max="21" width="8.28515625" style="12" customWidth="1"/>
    <col min="22" max="22" width="14" style="92" customWidth="1"/>
    <col min="23" max="16384" width="8.7109375" style="12"/>
  </cols>
  <sheetData>
    <row r="1" spans="1:23" ht="22.15" customHeight="1" x14ac:dyDescent="0.2">
      <c r="B1" s="1125" t="s">
        <v>653</v>
      </c>
      <c r="C1" s="1126"/>
      <c r="D1" s="1125"/>
      <c r="E1" s="1125"/>
      <c r="F1" s="1125"/>
      <c r="G1" s="1125"/>
      <c r="H1" s="1126"/>
      <c r="I1" s="1126"/>
      <c r="J1" s="1125"/>
      <c r="K1" s="1125"/>
      <c r="L1" s="1125"/>
      <c r="M1" s="1125"/>
      <c r="N1" s="1125"/>
      <c r="O1" s="1125"/>
      <c r="P1" s="1125"/>
      <c r="Q1" s="1125"/>
      <c r="R1" s="1125"/>
      <c r="S1" s="1125"/>
      <c r="T1" s="1125"/>
      <c r="U1" s="1125"/>
    </row>
    <row r="2" spans="1:23"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W2" s="92"/>
    </row>
    <row r="3" spans="1:23"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W3" s="92"/>
    </row>
    <row r="4" spans="1:23"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W4" s="92"/>
    </row>
    <row r="5" spans="1:23" ht="21"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W5" s="92"/>
    </row>
    <row r="6" spans="1:23" s="92" customFormat="1" ht="33.75" x14ac:dyDescent="0.2">
      <c r="A6" s="257" t="s">
        <v>238</v>
      </c>
      <c r="B6" s="236" t="s">
        <v>377</v>
      </c>
      <c r="C6" s="146">
        <v>51708</v>
      </c>
      <c r="D6" s="413">
        <v>820000</v>
      </c>
      <c r="E6" s="180">
        <v>44575</v>
      </c>
      <c r="F6" s="342">
        <v>6</v>
      </c>
      <c r="G6" s="342">
        <v>809002.14</v>
      </c>
      <c r="H6" s="342">
        <v>0</v>
      </c>
      <c r="I6" s="342">
        <v>0</v>
      </c>
      <c r="J6" s="342">
        <v>4</v>
      </c>
      <c r="K6" s="411">
        <v>655472.37</v>
      </c>
      <c r="L6" s="342">
        <v>4</v>
      </c>
      <c r="M6" s="342">
        <v>4</v>
      </c>
      <c r="N6" s="342">
        <v>655472.37</v>
      </c>
      <c r="O6" s="342">
        <v>2</v>
      </c>
      <c r="P6" s="342">
        <v>109002.14</v>
      </c>
      <c r="Q6" s="366">
        <f>K6-N6</f>
        <v>0</v>
      </c>
      <c r="R6" s="342">
        <v>6</v>
      </c>
      <c r="S6" s="342">
        <v>638876.40999999992</v>
      </c>
      <c r="T6" s="342">
        <v>3</v>
      </c>
      <c r="U6" s="342">
        <v>288729.91000000003</v>
      </c>
    </row>
    <row r="7" spans="1:23" s="92" customFormat="1" ht="52.5" customHeight="1" x14ac:dyDescent="0.2">
      <c r="A7" s="257" t="s">
        <v>275</v>
      </c>
      <c r="B7" s="236" t="s">
        <v>419</v>
      </c>
      <c r="C7" s="146">
        <v>60521</v>
      </c>
      <c r="D7" s="413">
        <v>3600</v>
      </c>
      <c r="E7" s="180">
        <v>44592</v>
      </c>
      <c r="F7" s="342">
        <v>1</v>
      </c>
      <c r="G7" s="342">
        <v>3600</v>
      </c>
      <c r="H7" s="342">
        <v>0</v>
      </c>
      <c r="I7" s="342">
        <v>0</v>
      </c>
      <c r="J7" s="342">
        <v>1</v>
      </c>
      <c r="K7" s="342">
        <v>3600</v>
      </c>
      <c r="L7" s="342">
        <v>1</v>
      </c>
      <c r="M7" s="342">
        <v>1</v>
      </c>
      <c r="N7" s="342">
        <v>3600</v>
      </c>
      <c r="O7" s="342">
        <v>0</v>
      </c>
      <c r="P7" s="342">
        <v>0</v>
      </c>
      <c r="Q7" s="366">
        <f>K7-N7</f>
        <v>0</v>
      </c>
      <c r="R7" s="342">
        <v>1</v>
      </c>
      <c r="S7" s="342">
        <v>3600</v>
      </c>
      <c r="T7" s="342">
        <v>1</v>
      </c>
      <c r="U7" s="342">
        <v>3600</v>
      </c>
    </row>
    <row r="8" spans="1:23" s="92" customFormat="1" ht="22.5" x14ac:dyDescent="0.2">
      <c r="A8" s="257" t="s">
        <v>242</v>
      </c>
      <c r="B8" s="236" t="s">
        <v>464</v>
      </c>
      <c r="C8" s="146">
        <v>60645</v>
      </c>
      <c r="D8" s="413">
        <v>440000</v>
      </c>
      <c r="E8" s="180">
        <v>44592</v>
      </c>
      <c r="F8" s="342">
        <v>9</v>
      </c>
      <c r="G8" s="342">
        <v>439507.49</v>
      </c>
      <c r="H8" s="342">
        <v>1</v>
      </c>
      <c r="I8" s="342">
        <v>50000</v>
      </c>
      <c r="J8" s="342">
        <v>8</v>
      </c>
      <c r="K8" s="342">
        <f>G8-I8</f>
        <v>389507.49</v>
      </c>
      <c r="L8" s="342">
        <v>8</v>
      </c>
      <c r="M8" s="342">
        <v>8</v>
      </c>
      <c r="N8" s="342">
        <v>389507.49</v>
      </c>
      <c r="O8" s="342">
        <v>0</v>
      </c>
      <c r="P8" s="342">
        <v>0</v>
      </c>
      <c r="Q8" s="366">
        <f>K8-N8</f>
        <v>0</v>
      </c>
      <c r="R8" s="342">
        <v>16</v>
      </c>
      <c r="S8" s="342">
        <v>389507.49</v>
      </c>
      <c r="T8" s="342">
        <v>15</v>
      </c>
      <c r="U8" s="342">
        <v>374507.49</v>
      </c>
    </row>
    <row r="9" spans="1:23" s="92" customFormat="1" ht="56.25" x14ac:dyDescent="0.2">
      <c r="A9" s="257" t="s">
        <v>242</v>
      </c>
      <c r="B9" s="236" t="s">
        <v>419</v>
      </c>
      <c r="C9" s="146">
        <v>60721</v>
      </c>
      <c r="D9" s="413">
        <v>100000</v>
      </c>
      <c r="E9" s="180">
        <v>44592</v>
      </c>
      <c r="F9" s="342">
        <v>2</v>
      </c>
      <c r="G9" s="342">
        <v>100000</v>
      </c>
      <c r="H9" s="342">
        <v>0</v>
      </c>
      <c r="I9" s="342">
        <v>0</v>
      </c>
      <c r="J9" s="342">
        <v>2</v>
      </c>
      <c r="K9" s="342">
        <v>100000</v>
      </c>
      <c r="L9" s="342">
        <v>2</v>
      </c>
      <c r="M9" s="342">
        <v>2</v>
      </c>
      <c r="N9" s="342">
        <v>100000</v>
      </c>
      <c r="O9" s="342">
        <v>0</v>
      </c>
      <c r="P9" s="342">
        <v>0</v>
      </c>
      <c r="Q9" s="366">
        <f>K9-N9</f>
        <v>0</v>
      </c>
      <c r="R9" s="342">
        <v>4</v>
      </c>
      <c r="S9" s="342">
        <v>100000</v>
      </c>
      <c r="T9" s="342">
        <v>4</v>
      </c>
      <c r="U9" s="342">
        <v>100000</v>
      </c>
    </row>
    <row r="10" spans="1:23" s="92" customFormat="1" ht="22.5" x14ac:dyDescent="0.2">
      <c r="A10" s="257" t="s">
        <v>538</v>
      </c>
      <c r="B10" s="236" t="s">
        <v>477</v>
      </c>
      <c r="C10" s="146">
        <v>66601</v>
      </c>
      <c r="D10" s="413">
        <v>75000</v>
      </c>
      <c r="E10" s="258">
        <v>44827</v>
      </c>
      <c r="F10" s="342">
        <v>3</v>
      </c>
      <c r="G10" s="342">
        <v>70244.800000000003</v>
      </c>
      <c r="H10" s="342">
        <v>1</v>
      </c>
      <c r="I10" s="342">
        <v>22131.14</v>
      </c>
      <c r="J10" s="342">
        <v>1</v>
      </c>
      <c r="K10" s="342">
        <v>21113.66</v>
      </c>
      <c r="L10" s="342">
        <v>1</v>
      </c>
      <c r="M10" s="342">
        <v>1</v>
      </c>
      <c r="N10" s="342">
        <v>21113.66</v>
      </c>
      <c r="O10" s="342">
        <v>1</v>
      </c>
      <c r="P10" s="342">
        <v>27000</v>
      </c>
      <c r="Q10" s="366">
        <f t="shared" ref="Q10:Q18" si="0">K10-N10</f>
        <v>0</v>
      </c>
      <c r="R10" s="342">
        <v>2</v>
      </c>
      <c r="S10" s="342">
        <v>21113.66</v>
      </c>
      <c r="T10" s="342">
        <v>2</v>
      </c>
      <c r="U10" s="342">
        <v>21113.66</v>
      </c>
    </row>
    <row r="11" spans="1:23" s="92" customFormat="1" ht="19.899999999999999" customHeight="1" x14ac:dyDescent="0.2">
      <c r="A11" s="257" t="s">
        <v>245</v>
      </c>
      <c r="B11" s="236" t="s">
        <v>428</v>
      </c>
      <c r="C11" s="146">
        <v>66541</v>
      </c>
      <c r="D11" s="413">
        <v>735000</v>
      </c>
      <c r="E11" s="258">
        <v>44848</v>
      </c>
      <c r="F11" s="342">
        <v>4</v>
      </c>
      <c r="G11" s="342">
        <v>735000</v>
      </c>
      <c r="H11" s="342">
        <v>0</v>
      </c>
      <c r="I11" s="342">
        <v>0</v>
      </c>
      <c r="J11" s="342">
        <v>3</v>
      </c>
      <c r="K11" s="342">
        <v>482375.17000000004</v>
      </c>
      <c r="L11" s="342">
        <v>3</v>
      </c>
      <c r="M11" s="342">
        <v>3</v>
      </c>
      <c r="N11" s="342">
        <v>482375.17000000004</v>
      </c>
      <c r="O11" s="342">
        <v>1</v>
      </c>
      <c r="P11" s="342">
        <v>200000</v>
      </c>
      <c r="Q11" s="366">
        <f t="shared" si="0"/>
        <v>0</v>
      </c>
      <c r="R11" s="342">
        <v>3</v>
      </c>
      <c r="S11" s="342">
        <v>309624.18</v>
      </c>
      <c r="T11" s="342">
        <v>1</v>
      </c>
      <c r="U11" s="342">
        <v>99222.12</v>
      </c>
    </row>
    <row r="12" spans="1:23" s="92" customFormat="1" ht="48" x14ac:dyDescent="0.2">
      <c r="A12" s="257" t="s">
        <v>538</v>
      </c>
      <c r="B12" s="184" t="s">
        <v>574</v>
      </c>
      <c r="C12" s="146">
        <v>68062</v>
      </c>
      <c r="D12" s="413">
        <v>660000</v>
      </c>
      <c r="E12" s="147">
        <v>44937</v>
      </c>
      <c r="F12" s="342">
        <v>17</v>
      </c>
      <c r="G12" s="342">
        <v>575170.68000000005</v>
      </c>
      <c r="H12" s="342">
        <v>2</v>
      </c>
      <c r="I12" s="342">
        <v>79646.3</v>
      </c>
      <c r="J12" s="342">
        <v>8</v>
      </c>
      <c r="K12" s="342">
        <v>234625.64</v>
      </c>
      <c r="L12" s="342">
        <v>8</v>
      </c>
      <c r="M12" s="342">
        <v>8</v>
      </c>
      <c r="N12" s="342">
        <v>234625.64</v>
      </c>
      <c r="O12" s="342">
        <v>7</v>
      </c>
      <c r="P12" s="342">
        <v>256336</v>
      </c>
      <c r="Q12" s="366">
        <f t="shared" si="0"/>
        <v>0</v>
      </c>
      <c r="R12" s="342">
        <v>11</v>
      </c>
      <c r="S12" s="342">
        <v>231629.43000000002</v>
      </c>
      <c r="T12" s="342">
        <v>7</v>
      </c>
      <c r="U12" s="342">
        <v>120890.26</v>
      </c>
    </row>
    <row r="13" spans="1:23" s="92" customFormat="1" ht="22.5" x14ac:dyDescent="0.2">
      <c r="A13" s="257" t="s">
        <v>538</v>
      </c>
      <c r="B13" s="235" t="s">
        <v>540</v>
      </c>
      <c r="C13" s="146">
        <v>69341</v>
      </c>
      <c r="D13" s="413">
        <v>149700</v>
      </c>
      <c r="E13" s="180">
        <v>44908</v>
      </c>
      <c r="F13" s="342">
        <v>5</v>
      </c>
      <c r="G13" s="342">
        <v>149697</v>
      </c>
      <c r="H13" s="342">
        <v>1</v>
      </c>
      <c r="I13" s="342">
        <v>29997</v>
      </c>
      <c r="J13" s="342">
        <v>4</v>
      </c>
      <c r="K13" s="342">
        <v>119700</v>
      </c>
      <c r="L13" s="342">
        <v>4</v>
      </c>
      <c r="M13" s="342">
        <v>4</v>
      </c>
      <c r="N13" s="342">
        <v>119700</v>
      </c>
      <c r="O13" s="342">
        <v>0</v>
      </c>
      <c r="P13" s="342">
        <v>0</v>
      </c>
      <c r="Q13" s="366">
        <f t="shared" si="0"/>
        <v>0</v>
      </c>
      <c r="R13" s="342">
        <v>5</v>
      </c>
      <c r="S13" s="342">
        <v>119699.95999999999</v>
      </c>
      <c r="T13" s="342">
        <v>4</v>
      </c>
      <c r="U13" s="342">
        <v>99076.28</v>
      </c>
    </row>
    <row r="14" spans="1:23" s="92" customFormat="1" ht="56.25" x14ac:dyDescent="0.2">
      <c r="A14" s="257" t="s">
        <v>538</v>
      </c>
      <c r="B14" s="235" t="s">
        <v>541</v>
      </c>
      <c r="C14" s="146">
        <v>69302</v>
      </c>
      <c r="D14" s="413">
        <v>314232</v>
      </c>
      <c r="E14" s="180">
        <v>44906</v>
      </c>
      <c r="F14" s="342">
        <v>7</v>
      </c>
      <c r="G14" s="342">
        <v>261378.68</v>
      </c>
      <c r="H14" s="342">
        <v>2</v>
      </c>
      <c r="I14" s="342">
        <v>90000</v>
      </c>
      <c r="J14" s="342">
        <v>5</v>
      </c>
      <c r="K14" s="342">
        <v>171378.68</v>
      </c>
      <c r="L14" s="342">
        <v>5</v>
      </c>
      <c r="M14" s="342">
        <v>5</v>
      </c>
      <c r="N14" s="342">
        <v>171378.68</v>
      </c>
      <c r="O14" s="342">
        <v>0</v>
      </c>
      <c r="P14" s="342">
        <v>0</v>
      </c>
      <c r="Q14" s="366">
        <f t="shared" si="0"/>
        <v>0</v>
      </c>
      <c r="R14" s="342">
        <v>8</v>
      </c>
      <c r="S14" s="342">
        <v>140102.06</v>
      </c>
      <c r="T14" s="342">
        <v>6</v>
      </c>
      <c r="U14" s="342">
        <v>106268.12999999999</v>
      </c>
    </row>
    <row r="15" spans="1:23" s="92" customFormat="1" ht="22.5" x14ac:dyDescent="0.2">
      <c r="A15" s="257" t="s">
        <v>539</v>
      </c>
      <c r="B15" s="235" t="s">
        <v>540</v>
      </c>
      <c r="C15" s="146">
        <v>69601</v>
      </c>
      <c r="D15" s="413">
        <v>20000</v>
      </c>
      <c r="E15" s="180">
        <v>44906</v>
      </c>
      <c r="F15" s="342">
        <v>1</v>
      </c>
      <c r="G15" s="342">
        <v>19901.7</v>
      </c>
      <c r="H15" s="342">
        <v>0</v>
      </c>
      <c r="I15" s="342">
        <v>0</v>
      </c>
      <c r="J15" s="342">
        <v>1</v>
      </c>
      <c r="K15" s="342">
        <v>19901.7</v>
      </c>
      <c r="L15" s="342">
        <v>1</v>
      </c>
      <c r="M15" s="342">
        <v>1</v>
      </c>
      <c r="N15" s="342">
        <v>19901.7</v>
      </c>
      <c r="O15" s="342">
        <v>0</v>
      </c>
      <c r="P15" s="342">
        <v>0</v>
      </c>
      <c r="Q15" s="366">
        <f t="shared" si="0"/>
        <v>0</v>
      </c>
      <c r="R15" s="342">
        <v>1</v>
      </c>
      <c r="S15" s="342">
        <v>18857.7</v>
      </c>
      <c r="T15" s="342">
        <v>1</v>
      </c>
      <c r="U15" s="342">
        <v>18805.5</v>
      </c>
    </row>
    <row r="16" spans="1:23" s="92" customFormat="1" ht="33.75" x14ac:dyDescent="0.2">
      <c r="A16" s="257" t="s">
        <v>238</v>
      </c>
      <c r="B16" s="355" t="s">
        <v>377</v>
      </c>
      <c r="C16" s="356">
        <v>78181</v>
      </c>
      <c r="D16" s="413">
        <v>500000</v>
      </c>
      <c r="E16" s="360">
        <v>45352</v>
      </c>
      <c r="F16" s="342">
        <v>14</v>
      </c>
      <c r="G16" s="342">
        <v>1028990.82</v>
      </c>
      <c r="H16" s="342">
        <v>0</v>
      </c>
      <c r="I16" s="342">
        <v>0</v>
      </c>
      <c r="J16" s="342">
        <v>11</v>
      </c>
      <c r="K16" s="342">
        <v>826402.05</v>
      </c>
      <c r="L16" s="342">
        <v>11</v>
      </c>
      <c r="M16" s="342">
        <v>11</v>
      </c>
      <c r="N16" s="342">
        <v>826402.05</v>
      </c>
      <c r="O16" s="342">
        <v>3</v>
      </c>
      <c r="P16" s="342">
        <v>168656.6</v>
      </c>
      <c r="Q16" s="366">
        <f t="shared" si="0"/>
        <v>0</v>
      </c>
      <c r="R16" s="342">
        <v>10</v>
      </c>
      <c r="S16" s="342">
        <v>616870.41</v>
      </c>
      <c r="T16" s="342">
        <v>1</v>
      </c>
      <c r="U16" s="342">
        <v>28361.45</v>
      </c>
    </row>
    <row r="17" spans="1:23" s="92" customFormat="1" ht="22.5" x14ac:dyDescent="0.2">
      <c r="A17" s="257" t="s">
        <v>242</v>
      </c>
      <c r="B17" s="355" t="s">
        <v>605</v>
      </c>
      <c r="C17" s="356">
        <v>78364</v>
      </c>
      <c r="D17" s="413">
        <v>200000</v>
      </c>
      <c r="E17" s="360">
        <v>45359</v>
      </c>
      <c r="F17" s="342">
        <v>10</v>
      </c>
      <c r="G17" s="342">
        <v>505000</v>
      </c>
      <c r="H17" s="342">
        <v>0</v>
      </c>
      <c r="I17" s="342">
        <v>0</v>
      </c>
      <c r="J17" s="342">
        <v>10</v>
      </c>
      <c r="K17" s="342">
        <v>500000</v>
      </c>
      <c r="L17" s="342">
        <v>10</v>
      </c>
      <c r="M17" s="342">
        <v>10</v>
      </c>
      <c r="N17" s="342">
        <v>500000</v>
      </c>
      <c r="O17" s="342">
        <v>0</v>
      </c>
      <c r="P17" s="342">
        <v>0</v>
      </c>
      <c r="Q17" s="366">
        <f t="shared" si="0"/>
        <v>0</v>
      </c>
      <c r="R17" s="342">
        <v>19</v>
      </c>
      <c r="S17" s="342">
        <v>485000</v>
      </c>
      <c r="T17" s="342">
        <v>9</v>
      </c>
      <c r="U17" s="342">
        <v>315000</v>
      </c>
    </row>
    <row r="18" spans="1:23" s="92" customFormat="1" ht="22.5" x14ac:dyDescent="0.2">
      <c r="A18" s="257" t="s">
        <v>539</v>
      </c>
      <c r="B18" s="355" t="s">
        <v>606</v>
      </c>
      <c r="C18" s="356">
        <v>78381</v>
      </c>
      <c r="D18" s="413">
        <v>200000</v>
      </c>
      <c r="E18" s="360">
        <v>45359</v>
      </c>
      <c r="F18" s="342">
        <v>20</v>
      </c>
      <c r="G18" s="342">
        <v>891309.05</v>
      </c>
      <c r="H18" s="342">
        <v>0</v>
      </c>
      <c r="I18" s="342">
        <v>0</v>
      </c>
      <c r="J18" s="342">
        <v>15</v>
      </c>
      <c r="K18" s="372">
        <v>626808.32999999996</v>
      </c>
      <c r="L18" s="342">
        <v>13</v>
      </c>
      <c r="M18" s="342">
        <v>12</v>
      </c>
      <c r="N18" s="342">
        <v>494012.13</v>
      </c>
      <c r="O18" s="342">
        <v>1</v>
      </c>
      <c r="P18" s="342">
        <v>45000</v>
      </c>
      <c r="Q18" s="366">
        <f t="shared" si="0"/>
        <v>132796.19999999995</v>
      </c>
      <c r="R18" s="342">
        <v>15</v>
      </c>
      <c r="S18" s="342">
        <v>469012.12999999995</v>
      </c>
      <c r="T18" s="342">
        <v>4</v>
      </c>
      <c r="U18" s="342">
        <v>83742.240000000005</v>
      </c>
    </row>
    <row r="19" spans="1:23" x14ac:dyDescent="0.2">
      <c r="A19" s="19" t="s">
        <v>1</v>
      </c>
      <c r="B19" s="19"/>
      <c r="C19" s="59"/>
      <c r="D19" s="20">
        <f>SUM(D6:D18)</f>
        <v>4217532</v>
      </c>
      <c r="E19" s="20"/>
      <c r="F19" s="20">
        <f t="shared" ref="F19:U19" si="1">SUM(F6:F18)</f>
        <v>99</v>
      </c>
      <c r="G19" s="20">
        <f t="shared" si="1"/>
        <v>5588802.3600000003</v>
      </c>
      <c r="H19" s="20">
        <f t="shared" si="1"/>
        <v>7</v>
      </c>
      <c r="I19" s="20">
        <f t="shared" si="1"/>
        <v>271774.44</v>
      </c>
      <c r="J19" s="20">
        <f t="shared" si="1"/>
        <v>73</v>
      </c>
      <c r="K19" s="20">
        <f t="shared" si="1"/>
        <v>4150885.0900000008</v>
      </c>
      <c r="L19" s="20">
        <f t="shared" si="1"/>
        <v>71</v>
      </c>
      <c r="M19" s="20">
        <f t="shared" si="1"/>
        <v>70</v>
      </c>
      <c r="N19" s="20">
        <f t="shared" si="1"/>
        <v>4018088.8900000006</v>
      </c>
      <c r="O19" s="20">
        <f t="shared" si="1"/>
        <v>15</v>
      </c>
      <c r="P19" s="20">
        <f t="shared" si="1"/>
        <v>805994.74</v>
      </c>
      <c r="Q19" s="20">
        <f t="shared" si="1"/>
        <v>132796.19999999995</v>
      </c>
      <c r="R19" s="20">
        <f t="shared" si="1"/>
        <v>101</v>
      </c>
      <c r="S19" s="20">
        <f t="shared" si="1"/>
        <v>3543893.4299999997</v>
      </c>
      <c r="T19" s="490">
        <f t="shared" si="1"/>
        <v>58</v>
      </c>
      <c r="U19" s="490">
        <f t="shared" si="1"/>
        <v>1659317.0399999998</v>
      </c>
    </row>
    <row r="20" spans="1:23" customFormat="1" ht="15" customHeight="1" x14ac:dyDescent="0.25">
      <c r="A20" s="210" t="s">
        <v>390</v>
      </c>
      <c r="B20" s="134"/>
      <c r="C20" s="134"/>
      <c r="D20" s="134"/>
      <c r="E20" s="134"/>
      <c r="F20" s="134"/>
      <c r="G20" s="134"/>
      <c r="H20" s="134"/>
      <c r="I20" s="134"/>
      <c r="J20" s="134"/>
      <c r="K20" s="134"/>
      <c r="L20" s="134"/>
      <c r="M20" s="134"/>
      <c r="N20" s="134"/>
      <c r="O20" s="134"/>
      <c r="P20" s="134"/>
      <c r="Q20" s="134"/>
      <c r="R20" s="134"/>
    </row>
    <row r="21" spans="1:23" s="23" customFormat="1" ht="22.15" customHeight="1" x14ac:dyDescent="0.25">
      <c r="A21" s="1124" t="s">
        <v>744</v>
      </c>
      <c r="B21" s="1124"/>
      <c r="C21" s="1124"/>
      <c r="D21" s="1124"/>
      <c r="E21" s="1124"/>
      <c r="F21" s="1124"/>
      <c r="G21" s="1124"/>
      <c r="H21" s="1124"/>
      <c r="I21" s="1124"/>
      <c r="J21" s="1124"/>
      <c r="K21" s="1124"/>
      <c r="L21" s="1124"/>
      <c r="M21" s="1124"/>
      <c r="N21" s="1124"/>
      <c r="O21" s="1124"/>
      <c r="P21" s="1124"/>
      <c r="Q21" s="1124"/>
      <c r="R21" s="1124"/>
      <c r="S21" s="1124"/>
      <c r="T21" s="1124"/>
      <c r="U21" s="1124"/>
      <c r="V21" s="87"/>
    </row>
    <row r="22" spans="1:23" ht="23.45" customHeight="1" x14ac:dyDescent="0.2">
      <c r="B22" s="1125" t="s">
        <v>654</v>
      </c>
      <c r="C22" s="1126"/>
      <c r="D22" s="1125"/>
      <c r="E22" s="1125"/>
      <c r="F22" s="1125"/>
      <c r="G22" s="1125"/>
      <c r="H22" s="1126"/>
      <c r="I22" s="1126"/>
      <c r="J22" s="1125"/>
      <c r="K22" s="1125"/>
      <c r="L22" s="1125"/>
      <c r="M22" s="1125"/>
      <c r="N22" s="1125"/>
      <c r="O22" s="1125"/>
      <c r="P22" s="1125"/>
      <c r="Q22" s="1125"/>
      <c r="R22" s="1125"/>
      <c r="S22" s="1125"/>
      <c r="T22" s="1125"/>
      <c r="U22" s="1125"/>
    </row>
    <row r="23" spans="1:23" ht="20.25" customHeight="1" x14ac:dyDescent="0.2">
      <c r="A23" s="943" t="s">
        <v>248</v>
      </c>
      <c r="B23" s="943" t="s">
        <v>156</v>
      </c>
      <c r="C23" s="943" t="s">
        <v>282</v>
      </c>
      <c r="D23" s="943" t="s">
        <v>157</v>
      </c>
      <c r="E23" s="943" t="s">
        <v>158</v>
      </c>
      <c r="F23" s="968" t="s">
        <v>337</v>
      </c>
      <c r="G23" s="969"/>
      <c r="H23" s="968" t="s">
        <v>277</v>
      </c>
      <c r="I23" s="969"/>
      <c r="J23" s="968" t="s">
        <v>159</v>
      </c>
      <c r="K23" s="969"/>
      <c r="L23" s="947" t="s">
        <v>749</v>
      </c>
      <c r="M23" s="948"/>
      <c r="N23" s="948"/>
      <c r="O23" s="948"/>
      <c r="P23" s="949"/>
      <c r="Q23" s="943" t="s">
        <v>250</v>
      </c>
      <c r="R23" s="937" t="s">
        <v>750</v>
      </c>
      <c r="S23" s="938"/>
      <c r="T23" s="937" t="s">
        <v>751</v>
      </c>
      <c r="U23" s="938"/>
      <c r="W23" s="92"/>
    </row>
    <row r="24" spans="1:23" ht="10.15" customHeight="1" x14ac:dyDescent="0.2">
      <c r="A24" s="944"/>
      <c r="B24" s="944"/>
      <c r="C24" s="944"/>
      <c r="D24" s="944"/>
      <c r="E24" s="944"/>
      <c r="F24" s="939"/>
      <c r="G24" s="940"/>
      <c r="H24" s="939"/>
      <c r="I24" s="940"/>
      <c r="J24" s="939"/>
      <c r="K24" s="940"/>
      <c r="L24" s="975" t="s">
        <v>160</v>
      </c>
      <c r="M24" s="948"/>
      <c r="N24" s="949"/>
      <c r="O24" s="968" t="s">
        <v>626</v>
      </c>
      <c r="P24" s="969"/>
      <c r="Q24" s="944"/>
      <c r="R24" s="939"/>
      <c r="S24" s="940"/>
      <c r="T24" s="939"/>
      <c r="U24" s="940"/>
      <c r="W24" s="92"/>
    </row>
    <row r="25" spans="1:23" ht="21" customHeight="1" x14ac:dyDescent="0.2">
      <c r="A25" s="944"/>
      <c r="B25" s="944"/>
      <c r="C25" s="944"/>
      <c r="D25" s="944"/>
      <c r="E25" s="944"/>
      <c r="F25" s="941"/>
      <c r="G25" s="942"/>
      <c r="H25" s="941"/>
      <c r="I25" s="942"/>
      <c r="J25" s="941"/>
      <c r="K25" s="942"/>
      <c r="L25" s="950" t="s">
        <v>161</v>
      </c>
      <c r="M25" s="975" t="s">
        <v>247</v>
      </c>
      <c r="N25" s="949"/>
      <c r="O25" s="941"/>
      <c r="P25" s="942"/>
      <c r="Q25" s="946"/>
      <c r="R25" s="941"/>
      <c r="S25" s="942"/>
      <c r="T25" s="941"/>
      <c r="U25" s="942"/>
      <c r="W25" s="92"/>
    </row>
    <row r="26" spans="1:23" ht="21" x14ac:dyDescent="0.2">
      <c r="A26" s="946"/>
      <c r="B26" s="946"/>
      <c r="C26" s="946"/>
      <c r="D26" s="946"/>
      <c r="E26" s="946"/>
      <c r="F26" s="122" t="s">
        <v>161</v>
      </c>
      <c r="G26" s="123" t="s">
        <v>162</v>
      </c>
      <c r="H26" s="15" t="s">
        <v>161</v>
      </c>
      <c r="I26" s="16" t="s">
        <v>162</v>
      </c>
      <c r="J26" s="122" t="s">
        <v>161</v>
      </c>
      <c r="K26" s="123" t="s">
        <v>162</v>
      </c>
      <c r="L26" s="1119"/>
      <c r="M26" s="154" t="s">
        <v>161</v>
      </c>
      <c r="N26" s="125" t="s">
        <v>162</v>
      </c>
      <c r="O26" s="154" t="s">
        <v>161</v>
      </c>
      <c r="P26" s="125" t="s">
        <v>162</v>
      </c>
      <c r="Q26" s="16" t="s">
        <v>162</v>
      </c>
      <c r="R26" s="15" t="s">
        <v>161</v>
      </c>
      <c r="S26" s="16" t="s">
        <v>162</v>
      </c>
      <c r="T26" s="77" t="s">
        <v>161</v>
      </c>
      <c r="U26" s="78" t="s">
        <v>162</v>
      </c>
      <c r="W26" s="92"/>
    </row>
    <row r="27" spans="1:23" s="92" customFormat="1" ht="24.6" customHeight="1" x14ac:dyDescent="0.2">
      <c r="A27" s="257" t="s">
        <v>245</v>
      </c>
      <c r="B27" s="236" t="s">
        <v>428</v>
      </c>
      <c r="C27" s="146">
        <v>38362</v>
      </c>
      <c r="D27" s="342">
        <v>428475.25</v>
      </c>
      <c r="E27" s="180">
        <v>44043</v>
      </c>
      <c r="F27" s="342">
        <v>5</v>
      </c>
      <c r="G27" s="342">
        <v>511094.6</v>
      </c>
      <c r="H27" s="342">
        <v>0</v>
      </c>
      <c r="I27" s="342">
        <v>0</v>
      </c>
      <c r="J27" s="342">
        <v>5</v>
      </c>
      <c r="K27" s="342">
        <v>428475.25</v>
      </c>
      <c r="L27" s="342">
        <v>5</v>
      </c>
      <c r="M27" s="342">
        <v>5</v>
      </c>
      <c r="N27" s="342">
        <v>428475.25</v>
      </c>
      <c r="O27" s="342">
        <v>0</v>
      </c>
      <c r="P27" s="342">
        <v>0</v>
      </c>
      <c r="Q27" s="342">
        <f t="shared" ref="Q27:Q32" si="2">K27-N27</f>
        <v>0</v>
      </c>
      <c r="R27" s="342">
        <v>5</v>
      </c>
      <c r="S27" s="342">
        <v>420142.69</v>
      </c>
      <c r="T27" s="342">
        <v>4</v>
      </c>
      <c r="U27" s="342">
        <v>367439.09</v>
      </c>
    </row>
    <row r="28" spans="1:23" s="92" customFormat="1" ht="51" customHeight="1" x14ac:dyDescent="0.2">
      <c r="A28" s="257" t="s">
        <v>242</v>
      </c>
      <c r="B28" s="236" t="s">
        <v>490</v>
      </c>
      <c r="C28" s="146">
        <v>41341</v>
      </c>
      <c r="D28" s="178">
        <v>40888.679999999993</v>
      </c>
      <c r="E28" s="180">
        <v>44089</v>
      </c>
      <c r="F28" s="342">
        <v>3</v>
      </c>
      <c r="G28" s="342">
        <v>74388.679999999993</v>
      </c>
      <c r="H28" s="342">
        <v>0</v>
      </c>
      <c r="I28" s="342">
        <v>0</v>
      </c>
      <c r="J28" s="342">
        <v>2</v>
      </c>
      <c r="K28" s="342">
        <v>40888.679999999993</v>
      </c>
      <c r="L28" s="342">
        <v>2</v>
      </c>
      <c r="M28" s="342">
        <v>2</v>
      </c>
      <c r="N28" s="342">
        <f>61333.02-P28</f>
        <v>40888.679999999993</v>
      </c>
      <c r="O28" s="342">
        <v>1</v>
      </c>
      <c r="P28" s="342">
        <v>20444.34</v>
      </c>
      <c r="Q28" s="342">
        <f t="shared" si="2"/>
        <v>0</v>
      </c>
      <c r="R28" s="342">
        <v>3</v>
      </c>
      <c r="S28" s="342">
        <v>40888.68</v>
      </c>
      <c r="T28" s="342">
        <v>3</v>
      </c>
      <c r="U28" s="342">
        <v>40888.680000000008</v>
      </c>
      <c r="V28" s="315"/>
    </row>
    <row r="29" spans="1:23" s="92" customFormat="1" ht="23.45" customHeight="1" x14ac:dyDescent="0.2">
      <c r="A29" s="257" t="s">
        <v>538</v>
      </c>
      <c r="B29" s="236" t="s">
        <v>429</v>
      </c>
      <c r="C29" s="146">
        <v>41442</v>
      </c>
      <c r="D29" s="178">
        <v>40602.1</v>
      </c>
      <c r="E29" s="180">
        <v>44089</v>
      </c>
      <c r="F29" s="342">
        <v>7</v>
      </c>
      <c r="G29" s="342">
        <v>96535.660000000018</v>
      </c>
      <c r="H29" s="342">
        <v>0</v>
      </c>
      <c r="I29" s="342">
        <v>0</v>
      </c>
      <c r="J29" s="342">
        <v>3</v>
      </c>
      <c r="K29" s="342">
        <v>40602.1</v>
      </c>
      <c r="L29" s="342">
        <v>3</v>
      </c>
      <c r="M29" s="342">
        <v>3</v>
      </c>
      <c r="N29" s="342">
        <v>40602.1</v>
      </c>
      <c r="O29" s="342">
        <v>4</v>
      </c>
      <c r="P29" s="342">
        <v>55294.57</v>
      </c>
      <c r="Q29" s="342">
        <f t="shared" si="2"/>
        <v>0</v>
      </c>
      <c r="R29" s="342">
        <v>3</v>
      </c>
      <c r="S29" s="342">
        <v>37287.339999999997</v>
      </c>
      <c r="T29" s="342">
        <v>3</v>
      </c>
      <c r="U29" s="342">
        <v>36628.14</v>
      </c>
    </row>
    <row r="30" spans="1:23" s="92" customFormat="1" ht="58.5" customHeight="1" x14ac:dyDescent="0.2">
      <c r="A30" s="257" t="s">
        <v>538</v>
      </c>
      <c r="B30" s="236" t="s">
        <v>430</v>
      </c>
      <c r="C30" s="146">
        <v>41561</v>
      </c>
      <c r="D30" s="342">
        <v>20139</v>
      </c>
      <c r="E30" s="180">
        <v>44089</v>
      </c>
      <c r="F30" s="342">
        <v>2</v>
      </c>
      <c r="G30" s="342">
        <v>41643</v>
      </c>
      <c r="H30" s="342">
        <v>0</v>
      </c>
      <c r="I30" s="342">
        <v>0</v>
      </c>
      <c r="J30" s="342">
        <v>1</v>
      </c>
      <c r="K30" s="342">
        <v>20139</v>
      </c>
      <c r="L30" s="342">
        <v>1</v>
      </c>
      <c r="M30" s="342">
        <v>1</v>
      </c>
      <c r="N30" s="342">
        <v>20139</v>
      </c>
      <c r="O30" s="342">
        <v>1</v>
      </c>
      <c r="P30" s="342">
        <v>19544</v>
      </c>
      <c r="Q30" s="342">
        <f t="shared" si="2"/>
        <v>0</v>
      </c>
      <c r="R30" s="342">
        <v>1</v>
      </c>
      <c r="S30" s="342">
        <v>19565</v>
      </c>
      <c r="T30" s="342">
        <v>1</v>
      </c>
      <c r="U30" s="342">
        <v>18686.46</v>
      </c>
    </row>
    <row r="31" spans="1:23" s="92" customFormat="1" ht="39.75" customHeight="1" x14ac:dyDescent="0.2">
      <c r="A31" s="257" t="s">
        <v>538</v>
      </c>
      <c r="B31" s="236" t="s">
        <v>431</v>
      </c>
      <c r="C31" s="146">
        <v>41644</v>
      </c>
      <c r="D31" s="342">
        <v>0</v>
      </c>
      <c r="E31" s="180">
        <v>44089</v>
      </c>
      <c r="F31" s="342">
        <v>6</v>
      </c>
      <c r="G31" s="342">
        <v>131286.10999999999</v>
      </c>
      <c r="H31" s="342">
        <v>2</v>
      </c>
      <c r="I31" s="342">
        <v>47490.47</v>
      </c>
      <c r="J31" s="342">
        <v>0</v>
      </c>
      <c r="K31" s="342">
        <v>0</v>
      </c>
      <c r="L31" s="342">
        <v>0</v>
      </c>
      <c r="M31" s="342">
        <v>0</v>
      </c>
      <c r="N31" s="342">
        <v>0</v>
      </c>
      <c r="O31" s="342">
        <v>4</v>
      </c>
      <c r="P31" s="342">
        <v>83770.11</v>
      </c>
      <c r="Q31" s="342">
        <f t="shared" si="2"/>
        <v>0</v>
      </c>
      <c r="R31" s="342">
        <v>0</v>
      </c>
      <c r="S31" s="342">
        <v>0</v>
      </c>
      <c r="T31" s="342">
        <v>0</v>
      </c>
      <c r="U31" s="342">
        <v>0</v>
      </c>
    </row>
    <row r="32" spans="1:23" s="92" customFormat="1" ht="45" x14ac:dyDescent="0.2">
      <c r="A32" s="257" t="s">
        <v>539</v>
      </c>
      <c r="B32" s="236" t="s">
        <v>432</v>
      </c>
      <c r="C32" s="146">
        <v>41721</v>
      </c>
      <c r="D32" s="342">
        <v>124866.15000000001</v>
      </c>
      <c r="E32" s="180">
        <v>44089</v>
      </c>
      <c r="F32" s="342">
        <v>8</v>
      </c>
      <c r="G32" s="342">
        <v>148369.96</v>
      </c>
      <c r="H32" s="342">
        <v>0</v>
      </c>
      <c r="I32" s="342">
        <v>0</v>
      </c>
      <c r="J32" s="342">
        <v>7</v>
      </c>
      <c r="K32" s="342">
        <v>124866.15000000001</v>
      </c>
      <c r="L32" s="342">
        <v>7</v>
      </c>
      <c r="M32" s="342">
        <v>7</v>
      </c>
      <c r="N32" s="342">
        <v>124866.15000000001</v>
      </c>
      <c r="O32" s="342">
        <v>1</v>
      </c>
      <c r="P32" s="342">
        <v>18690</v>
      </c>
      <c r="Q32" s="342">
        <f t="shared" si="2"/>
        <v>0</v>
      </c>
      <c r="R32" s="342">
        <v>6</v>
      </c>
      <c r="S32" s="342">
        <v>91724.53</v>
      </c>
      <c r="T32" s="342">
        <v>4</v>
      </c>
      <c r="U32" s="342">
        <v>67130.5</v>
      </c>
    </row>
    <row r="33" spans="1:22" s="92" customFormat="1" ht="30.75" customHeight="1" x14ac:dyDescent="0.2">
      <c r="A33" s="345" t="s">
        <v>365</v>
      </c>
      <c r="B33" s="346" t="s">
        <v>491</v>
      </c>
      <c r="C33" s="146">
        <v>67282</v>
      </c>
      <c r="D33" s="342">
        <v>173502.19</v>
      </c>
      <c r="E33" s="258">
        <v>44900</v>
      </c>
      <c r="F33" s="342">
        <v>2</v>
      </c>
      <c r="G33" s="342">
        <v>176510.3</v>
      </c>
      <c r="H33" s="342">
        <v>0</v>
      </c>
      <c r="I33" s="342">
        <v>0</v>
      </c>
      <c r="J33" s="342">
        <v>2</v>
      </c>
      <c r="K33" s="342">
        <v>173502.19</v>
      </c>
      <c r="L33" s="342">
        <v>2</v>
      </c>
      <c r="M33" s="342">
        <v>2</v>
      </c>
      <c r="N33" s="342">
        <v>173502.19</v>
      </c>
      <c r="O33" s="342">
        <v>0</v>
      </c>
      <c r="P33" s="342">
        <v>0</v>
      </c>
      <c r="Q33" s="342">
        <f>K33-N33</f>
        <v>0</v>
      </c>
      <c r="R33" s="342">
        <v>2</v>
      </c>
      <c r="S33" s="342">
        <v>170948.35</v>
      </c>
      <c r="T33" s="342">
        <v>0</v>
      </c>
      <c r="U33" s="342">
        <v>0</v>
      </c>
    </row>
    <row r="34" spans="1:22" s="92" customFormat="1" ht="33.75" x14ac:dyDescent="0.2">
      <c r="A34" s="257" t="s">
        <v>245</v>
      </c>
      <c r="B34" s="236" t="s">
        <v>558</v>
      </c>
      <c r="C34" s="146">
        <v>72243</v>
      </c>
      <c r="D34" s="178">
        <v>1000000</v>
      </c>
      <c r="E34" s="180">
        <v>45114</v>
      </c>
      <c r="F34" s="342">
        <v>5</v>
      </c>
      <c r="G34" s="342">
        <v>1000000</v>
      </c>
      <c r="H34" s="342">
        <v>0</v>
      </c>
      <c r="I34" s="342">
        <v>0</v>
      </c>
      <c r="J34" s="342">
        <v>5</v>
      </c>
      <c r="K34" s="342">
        <v>959694.88</v>
      </c>
      <c r="L34" s="342">
        <v>5</v>
      </c>
      <c r="M34" s="342">
        <v>5</v>
      </c>
      <c r="N34" s="342">
        <v>959694.88</v>
      </c>
      <c r="O34" s="342">
        <v>0</v>
      </c>
      <c r="P34" s="342">
        <v>0</v>
      </c>
      <c r="Q34" s="342">
        <f>K34-N34</f>
        <v>0</v>
      </c>
      <c r="R34" s="342">
        <v>5</v>
      </c>
      <c r="S34" s="342">
        <v>948304.84</v>
      </c>
      <c r="T34" s="342">
        <v>0</v>
      </c>
      <c r="U34" s="342">
        <v>0</v>
      </c>
    </row>
    <row r="35" spans="1:22" s="92" customFormat="1" ht="56.25" x14ac:dyDescent="0.2">
      <c r="A35" s="257" t="s">
        <v>275</v>
      </c>
      <c r="B35" s="235" t="s">
        <v>600</v>
      </c>
      <c r="C35" s="146">
        <v>78265</v>
      </c>
      <c r="D35" s="178">
        <v>70477.55</v>
      </c>
      <c r="E35" s="147">
        <v>45362</v>
      </c>
      <c r="F35" s="342">
        <v>3</v>
      </c>
      <c r="G35" s="342">
        <v>73118.73</v>
      </c>
      <c r="H35" s="342">
        <v>0</v>
      </c>
      <c r="I35" s="342">
        <v>0</v>
      </c>
      <c r="J35" s="342">
        <v>3</v>
      </c>
      <c r="K35" s="342">
        <v>70477.55</v>
      </c>
      <c r="L35" s="342">
        <v>3</v>
      </c>
      <c r="M35" s="342">
        <v>3</v>
      </c>
      <c r="N35" s="342">
        <v>70477.55</v>
      </c>
      <c r="O35" s="342">
        <v>0</v>
      </c>
      <c r="P35" s="342">
        <v>0</v>
      </c>
      <c r="Q35" s="342">
        <f t="shared" ref="Q35:Q39" si="3">K35-N35</f>
        <v>0</v>
      </c>
      <c r="R35" s="342">
        <v>2</v>
      </c>
      <c r="S35" s="342">
        <v>33512.379999999997</v>
      </c>
      <c r="T35" s="342">
        <v>0</v>
      </c>
      <c r="U35" s="342">
        <v>0</v>
      </c>
    </row>
    <row r="36" spans="1:22" s="92" customFormat="1" ht="33.75" x14ac:dyDescent="0.2">
      <c r="A36" s="257" t="s">
        <v>151</v>
      </c>
      <c r="B36" s="235" t="s">
        <v>604</v>
      </c>
      <c r="C36" s="146">
        <v>78268</v>
      </c>
      <c r="D36" s="342">
        <v>119038.9</v>
      </c>
      <c r="E36" s="147">
        <v>45362</v>
      </c>
      <c r="F36" s="342">
        <v>1</v>
      </c>
      <c r="G36" s="342">
        <v>122675.11</v>
      </c>
      <c r="H36" s="342">
        <v>0</v>
      </c>
      <c r="I36" s="342">
        <v>0</v>
      </c>
      <c r="J36" s="342">
        <v>1</v>
      </c>
      <c r="K36" s="342">
        <v>119038.9</v>
      </c>
      <c r="L36" s="342">
        <v>1</v>
      </c>
      <c r="M36" s="342">
        <v>1</v>
      </c>
      <c r="N36" s="342">
        <v>119038.9</v>
      </c>
      <c r="O36" s="342">
        <v>0</v>
      </c>
      <c r="P36" s="342">
        <v>0</v>
      </c>
      <c r="Q36" s="342">
        <f t="shared" si="3"/>
        <v>0</v>
      </c>
      <c r="R36" s="342">
        <v>1</v>
      </c>
      <c r="S36" s="342">
        <v>115146.73</v>
      </c>
      <c r="T36" s="342">
        <v>0</v>
      </c>
      <c r="U36" s="342">
        <v>0</v>
      </c>
    </row>
    <row r="37" spans="1:22" s="92" customFormat="1" ht="33.75" x14ac:dyDescent="0.2">
      <c r="A37" s="257" t="s">
        <v>151</v>
      </c>
      <c r="B37" s="235" t="s">
        <v>601</v>
      </c>
      <c r="C37" s="146">
        <v>78301</v>
      </c>
      <c r="D37" s="342">
        <v>316000</v>
      </c>
      <c r="E37" s="147">
        <v>45362</v>
      </c>
      <c r="F37" s="342">
        <v>2</v>
      </c>
      <c r="G37" s="342">
        <v>316000</v>
      </c>
      <c r="H37" s="342">
        <v>0</v>
      </c>
      <c r="I37" s="342">
        <v>0</v>
      </c>
      <c r="J37" s="342">
        <v>2</v>
      </c>
      <c r="K37" s="342">
        <v>316000</v>
      </c>
      <c r="L37" s="342">
        <v>2</v>
      </c>
      <c r="M37" s="342">
        <v>2</v>
      </c>
      <c r="N37" s="342">
        <v>316000</v>
      </c>
      <c r="O37" s="342">
        <v>0</v>
      </c>
      <c r="P37" s="342">
        <v>0</v>
      </c>
      <c r="Q37" s="342">
        <f t="shared" si="3"/>
        <v>0</v>
      </c>
      <c r="R37" s="342">
        <v>2</v>
      </c>
      <c r="S37" s="342">
        <v>157940</v>
      </c>
      <c r="T37" s="342">
        <v>1</v>
      </c>
      <c r="U37" s="342">
        <v>79881.45</v>
      </c>
    </row>
    <row r="38" spans="1:22" s="92" customFormat="1" ht="40.5" customHeight="1" x14ac:dyDescent="0.2">
      <c r="A38" s="257" t="s">
        <v>151</v>
      </c>
      <c r="B38" s="235" t="s">
        <v>602</v>
      </c>
      <c r="C38" s="146">
        <v>78303</v>
      </c>
      <c r="D38" s="342">
        <v>158528.98000000001</v>
      </c>
      <c r="E38" s="147">
        <v>45362</v>
      </c>
      <c r="F38" s="342">
        <v>1</v>
      </c>
      <c r="G38" s="342">
        <v>158626.13</v>
      </c>
      <c r="H38" s="342">
        <v>0</v>
      </c>
      <c r="I38" s="342">
        <v>0</v>
      </c>
      <c r="J38" s="342">
        <v>1</v>
      </c>
      <c r="K38" s="342">
        <v>158528.98000000001</v>
      </c>
      <c r="L38" s="342">
        <v>1</v>
      </c>
      <c r="M38" s="342">
        <v>1</v>
      </c>
      <c r="N38" s="342">
        <v>158528.98000000001</v>
      </c>
      <c r="O38" s="342">
        <v>0</v>
      </c>
      <c r="P38" s="342">
        <v>0</v>
      </c>
      <c r="Q38" s="342">
        <f t="shared" si="3"/>
        <v>0</v>
      </c>
      <c r="R38" s="342">
        <v>2</v>
      </c>
      <c r="S38" s="342">
        <v>158528.97</v>
      </c>
      <c r="T38" s="342">
        <v>1</v>
      </c>
      <c r="U38" s="342">
        <v>71331.23</v>
      </c>
    </row>
    <row r="39" spans="1:22" s="92" customFormat="1" ht="41.25" customHeight="1" x14ac:dyDescent="0.2">
      <c r="A39" s="257" t="s">
        <v>151</v>
      </c>
      <c r="B39" s="235" t="s">
        <v>603</v>
      </c>
      <c r="C39" s="146">
        <v>78304</v>
      </c>
      <c r="D39" s="342">
        <v>158000</v>
      </c>
      <c r="E39" s="147">
        <v>45362</v>
      </c>
      <c r="F39" s="342">
        <v>1</v>
      </c>
      <c r="G39" s="342">
        <v>158000</v>
      </c>
      <c r="H39" s="342">
        <v>0</v>
      </c>
      <c r="I39" s="342">
        <v>0</v>
      </c>
      <c r="J39" s="342">
        <v>1</v>
      </c>
      <c r="K39" s="342">
        <v>158000</v>
      </c>
      <c r="L39" s="342">
        <v>1</v>
      </c>
      <c r="M39" s="342">
        <v>1</v>
      </c>
      <c r="N39" s="342">
        <v>158000</v>
      </c>
      <c r="O39" s="342">
        <v>0</v>
      </c>
      <c r="P39" s="342">
        <v>0</v>
      </c>
      <c r="Q39" s="342">
        <f t="shared" si="3"/>
        <v>0</v>
      </c>
      <c r="R39" s="342">
        <v>0</v>
      </c>
      <c r="S39" s="342">
        <v>0</v>
      </c>
      <c r="T39" s="342">
        <v>0</v>
      </c>
      <c r="U39" s="342">
        <v>0</v>
      </c>
    </row>
    <row r="40" spans="1:22" x14ac:dyDescent="0.2">
      <c r="A40" s="19" t="s">
        <v>1</v>
      </c>
      <c r="B40" s="19"/>
      <c r="C40" s="59"/>
      <c r="D40" s="20">
        <f>SUM(D27:D39)</f>
        <v>2650518.8000000003</v>
      </c>
      <c r="E40" s="20"/>
      <c r="F40" s="20">
        <f t="shared" ref="F40:U40" si="4">SUM(F27:F39)</f>
        <v>46</v>
      </c>
      <c r="G40" s="20">
        <f t="shared" si="4"/>
        <v>3008248.28</v>
      </c>
      <c r="H40" s="20">
        <f t="shared" si="4"/>
        <v>2</v>
      </c>
      <c r="I40" s="20">
        <f t="shared" si="4"/>
        <v>47490.47</v>
      </c>
      <c r="J40" s="20">
        <f t="shared" si="4"/>
        <v>33</v>
      </c>
      <c r="K40" s="20">
        <f t="shared" si="4"/>
        <v>2610213.6800000002</v>
      </c>
      <c r="L40" s="20">
        <f t="shared" si="4"/>
        <v>33</v>
      </c>
      <c r="M40" s="20">
        <f t="shared" si="4"/>
        <v>33</v>
      </c>
      <c r="N40" s="20">
        <f t="shared" si="4"/>
        <v>2610213.6800000002</v>
      </c>
      <c r="O40" s="20">
        <f t="shared" si="4"/>
        <v>11</v>
      </c>
      <c r="P40" s="20">
        <f t="shared" si="4"/>
        <v>197743.02000000002</v>
      </c>
      <c r="Q40" s="20">
        <f t="shared" si="4"/>
        <v>0</v>
      </c>
      <c r="R40" s="20">
        <f t="shared" si="4"/>
        <v>32</v>
      </c>
      <c r="S40" s="20">
        <f t="shared" si="4"/>
        <v>2193989.5099999998</v>
      </c>
      <c r="T40" s="490">
        <f t="shared" si="4"/>
        <v>17</v>
      </c>
      <c r="U40" s="490">
        <f t="shared" si="4"/>
        <v>681985.55</v>
      </c>
    </row>
    <row r="41" spans="1:22" customFormat="1" ht="16.5" customHeight="1" x14ac:dyDescent="0.25">
      <c r="A41" s="210" t="s">
        <v>390</v>
      </c>
      <c r="B41" s="134"/>
      <c r="C41" s="134"/>
      <c r="D41" s="134"/>
      <c r="E41" s="134"/>
      <c r="F41" s="134"/>
      <c r="G41" s="134"/>
      <c r="H41" s="134"/>
      <c r="I41" s="134"/>
      <c r="J41" s="134"/>
      <c r="K41" s="134"/>
      <c r="L41" s="134"/>
      <c r="M41" s="134"/>
      <c r="N41" s="134"/>
      <c r="O41" s="134"/>
      <c r="P41" s="134"/>
      <c r="Q41" s="134"/>
      <c r="R41" s="134"/>
    </row>
    <row r="42" spans="1:22" s="23" customFormat="1" ht="24" customHeight="1" x14ac:dyDescent="0.25">
      <c r="A42" s="1124" t="s">
        <v>744</v>
      </c>
      <c r="B42" s="1124"/>
      <c r="C42" s="1124"/>
      <c r="D42" s="1124"/>
      <c r="E42" s="1124"/>
      <c r="F42" s="1124"/>
      <c r="G42" s="1124"/>
      <c r="H42" s="1124"/>
      <c r="I42" s="1124"/>
      <c r="J42" s="1124"/>
      <c r="K42" s="1124"/>
      <c r="L42" s="1124"/>
      <c r="M42" s="1124"/>
      <c r="N42" s="1124"/>
      <c r="O42" s="1124"/>
      <c r="P42" s="1124"/>
      <c r="Q42" s="1124"/>
      <c r="R42" s="1124"/>
      <c r="S42" s="1124"/>
      <c r="T42" s="1124"/>
      <c r="U42" s="1124"/>
      <c r="V42" s="87"/>
    </row>
  </sheetData>
  <mergeCells count="36">
    <mergeCell ref="A2:A5"/>
    <mergeCell ref="A21:U21"/>
    <mergeCell ref="B22:U22"/>
    <mergeCell ref="D2:D5"/>
    <mergeCell ref="E23:E26"/>
    <mergeCell ref="A42:U42"/>
    <mergeCell ref="Q23:Q25"/>
    <mergeCell ref="R23:S25"/>
    <mergeCell ref="L24:N24"/>
    <mergeCell ref="O24:P25"/>
    <mergeCell ref="M25:N25"/>
    <mergeCell ref="L23:P23"/>
    <mergeCell ref="L25:L26"/>
    <mergeCell ref="C23:C26"/>
    <mergeCell ref="F23:G25"/>
    <mergeCell ref="J23:K25"/>
    <mergeCell ref="H23:I25"/>
    <mergeCell ref="T23:U25"/>
    <mergeCell ref="A23:A26"/>
    <mergeCell ref="B23:B26"/>
    <mergeCell ref="D23:D26"/>
    <mergeCell ref="B1:U1"/>
    <mergeCell ref="L2:P2"/>
    <mergeCell ref="Q2:Q4"/>
    <mergeCell ref="R2:S4"/>
    <mergeCell ref="T2:U4"/>
    <mergeCell ref="L3:N3"/>
    <mergeCell ref="O3:P4"/>
    <mergeCell ref="L4:L5"/>
    <mergeCell ref="C2:C5"/>
    <mergeCell ref="M4:N4"/>
    <mergeCell ref="J2:K4"/>
    <mergeCell ref="F2:G4"/>
    <mergeCell ref="H2:I4"/>
    <mergeCell ref="E2:E5"/>
    <mergeCell ref="B2:B5"/>
  </mergeCells>
  <phoneticPr fontId="33" type="noConversion"/>
  <pageMargins left="0.7" right="0.7" top="0.75" bottom="0.75" header="0.3" footer="0.3"/>
  <pageSetup paperSize="9" scale="67" orientation="landscape" r:id="rId1"/>
  <rowBreaks count="1" manualBreakCount="1">
    <brk id="21" max="20" man="1"/>
  </rowBreaks>
  <colBreaks count="1" manualBreakCount="1">
    <brk id="21"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C46"/>
  <sheetViews>
    <sheetView view="pageBreakPreview" topLeftCell="C32" zoomScaleNormal="100" zoomScaleSheetLayoutView="100" zoomScalePageLayoutView="55" workbookViewId="0">
      <selection activeCell="R41" sqref="R41:S41"/>
    </sheetView>
  </sheetViews>
  <sheetFormatPr defaultColWidth="5" defaultRowHeight="11.25" x14ac:dyDescent="0.2"/>
  <cols>
    <col min="1" max="1" width="9.140625" style="12" customWidth="1"/>
    <col min="2" max="2" width="32.42578125" style="12" customWidth="1"/>
    <col min="3" max="3" width="8.28515625" style="12" customWidth="1"/>
    <col min="4" max="4" width="9.5703125" style="12" customWidth="1"/>
    <col min="5" max="5" width="8.42578125" style="12" customWidth="1"/>
    <col min="6" max="6" width="4.28515625" style="12" customWidth="1"/>
    <col min="7" max="7" width="8.7109375" style="12" customWidth="1"/>
    <col min="8" max="8" width="3.140625" style="12" bestFit="1" customWidth="1"/>
    <col min="9" max="9" width="6.7109375" style="12" customWidth="1"/>
    <col min="10" max="10" width="3.28515625" style="12" customWidth="1"/>
    <col min="11" max="11" width="7.7109375" style="12" bestFit="1" customWidth="1"/>
    <col min="12" max="13" width="3.140625" style="12" bestFit="1" customWidth="1"/>
    <col min="14" max="14" width="9.7109375" style="12" customWidth="1"/>
    <col min="15" max="15" width="3.140625" style="12" bestFit="1" customWidth="1"/>
    <col min="16" max="16" width="7.28515625" style="12" customWidth="1"/>
    <col min="17" max="17" width="8.5703125" style="12" customWidth="1"/>
    <col min="18" max="18" width="3.140625" style="12" bestFit="1" customWidth="1"/>
    <col min="19" max="19" width="8.7109375" style="12" customWidth="1"/>
    <col min="20" max="20" width="3.85546875" style="12" customWidth="1"/>
    <col min="21" max="21" width="10.5703125" style="12" customWidth="1"/>
    <col min="22" max="22" width="5" style="12"/>
    <col min="23" max="23" width="5" style="92"/>
    <col min="24" max="24" width="6.7109375" style="12" bestFit="1" customWidth="1"/>
    <col min="25" max="25" width="10.42578125" style="12" bestFit="1" customWidth="1"/>
    <col min="26" max="26" width="13.85546875" style="12" bestFit="1" customWidth="1"/>
    <col min="27" max="28" width="8.7109375" style="12" bestFit="1" customWidth="1"/>
    <col min="29" max="29" width="11.28515625" style="12" bestFit="1" customWidth="1"/>
    <col min="30" max="16384" width="5" style="12"/>
  </cols>
  <sheetData>
    <row r="1" spans="1:29" ht="14.45" customHeight="1" x14ac:dyDescent="0.2">
      <c r="A1" s="1125" t="s">
        <v>655</v>
      </c>
      <c r="B1" s="1125"/>
      <c r="C1" s="1126"/>
      <c r="D1" s="1125"/>
      <c r="E1" s="1125"/>
      <c r="F1" s="1125"/>
      <c r="G1" s="1125"/>
      <c r="H1" s="1126"/>
      <c r="I1" s="1126"/>
      <c r="J1" s="1125"/>
      <c r="K1" s="1125"/>
      <c r="L1" s="1125"/>
      <c r="M1" s="1125"/>
      <c r="N1" s="1125"/>
      <c r="O1" s="1125"/>
      <c r="P1" s="1125"/>
      <c r="Q1" s="1125"/>
      <c r="R1" s="1125"/>
      <c r="S1" s="1125"/>
      <c r="T1" s="1125"/>
      <c r="U1" s="1125"/>
      <c r="V1" s="92"/>
      <c r="W1" s="12"/>
    </row>
    <row r="2" spans="1:29" ht="20.25" customHeight="1" x14ac:dyDescent="0.2">
      <c r="A2" s="943" t="s">
        <v>248</v>
      </c>
      <c r="B2" s="943" t="s">
        <v>156</v>
      </c>
      <c r="C2" s="943" t="s">
        <v>282</v>
      </c>
      <c r="D2" s="943" t="s">
        <v>157</v>
      </c>
      <c r="E2" s="943" t="s">
        <v>158</v>
      </c>
      <c r="F2" s="968" t="s">
        <v>337</v>
      </c>
      <c r="G2" s="969"/>
      <c r="H2" s="968" t="s">
        <v>277</v>
      </c>
      <c r="I2" s="969"/>
      <c r="J2" s="968" t="s">
        <v>159</v>
      </c>
      <c r="K2" s="969"/>
      <c r="L2" s="947" t="s">
        <v>749</v>
      </c>
      <c r="M2" s="948"/>
      <c r="N2" s="948"/>
      <c r="O2" s="948"/>
      <c r="P2" s="949"/>
      <c r="Q2" s="943" t="s">
        <v>250</v>
      </c>
      <c r="R2" s="937" t="s">
        <v>750</v>
      </c>
      <c r="S2" s="938"/>
      <c r="T2" s="937" t="s">
        <v>751</v>
      </c>
      <c r="U2" s="938"/>
      <c r="V2" s="92"/>
    </row>
    <row r="3" spans="1:29" ht="10.15" customHeight="1" x14ac:dyDescent="0.2">
      <c r="A3" s="944"/>
      <c r="B3" s="944"/>
      <c r="C3" s="944"/>
      <c r="D3" s="944"/>
      <c r="E3" s="944"/>
      <c r="F3" s="939"/>
      <c r="G3" s="940"/>
      <c r="H3" s="939"/>
      <c r="I3" s="940"/>
      <c r="J3" s="939"/>
      <c r="K3" s="940"/>
      <c r="L3" s="975" t="s">
        <v>160</v>
      </c>
      <c r="M3" s="948"/>
      <c r="N3" s="949"/>
      <c r="O3" s="968" t="s">
        <v>626</v>
      </c>
      <c r="P3" s="969"/>
      <c r="Q3" s="944"/>
      <c r="R3" s="939"/>
      <c r="S3" s="940"/>
      <c r="T3" s="939"/>
      <c r="U3" s="940"/>
      <c r="V3" s="92"/>
    </row>
    <row r="4" spans="1:29" ht="21" customHeight="1" x14ac:dyDescent="0.2">
      <c r="A4" s="944"/>
      <c r="B4" s="944"/>
      <c r="C4" s="944"/>
      <c r="D4" s="944"/>
      <c r="E4" s="944"/>
      <c r="F4" s="941"/>
      <c r="G4" s="942"/>
      <c r="H4" s="941"/>
      <c r="I4" s="942"/>
      <c r="J4" s="941"/>
      <c r="K4" s="942"/>
      <c r="L4" s="950" t="s">
        <v>161</v>
      </c>
      <c r="M4" s="975" t="s">
        <v>247</v>
      </c>
      <c r="N4" s="949"/>
      <c r="O4" s="941"/>
      <c r="P4" s="942"/>
      <c r="Q4" s="946"/>
      <c r="R4" s="941"/>
      <c r="S4" s="942"/>
      <c r="T4" s="941"/>
      <c r="U4" s="942"/>
      <c r="V4" s="92"/>
    </row>
    <row r="5" spans="1:29" ht="21" x14ac:dyDescent="0.2">
      <c r="A5" s="946"/>
      <c r="B5" s="946"/>
      <c r="C5" s="946"/>
      <c r="D5" s="946"/>
      <c r="E5" s="946"/>
      <c r="F5" s="122" t="s">
        <v>161</v>
      </c>
      <c r="G5" s="123" t="s">
        <v>162</v>
      </c>
      <c r="H5" s="15" t="s">
        <v>161</v>
      </c>
      <c r="I5" s="16" t="s">
        <v>162</v>
      </c>
      <c r="J5" s="122" t="s">
        <v>161</v>
      </c>
      <c r="K5" s="123" t="s">
        <v>162</v>
      </c>
      <c r="L5" s="1119"/>
      <c r="M5" s="154" t="s">
        <v>161</v>
      </c>
      <c r="N5" s="125" t="s">
        <v>162</v>
      </c>
      <c r="O5" s="154" t="s">
        <v>161</v>
      </c>
      <c r="P5" s="125" t="s">
        <v>162</v>
      </c>
      <c r="Q5" s="16" t="s">
        <v>162</v>
      </c>
      <c r="R5" s="15" t="s">
        <v>161</v>
      </c>
      <c r="S5" s="16" t="s">
        <v>162</v>
      </c>
      <c r="T5" s="77" t="s">
        <v>161</v>
      </c>
      <c r="U5" s="78" t="s">
        <v>162</v>
      </c>
      <c r="V5" s="92"/>
    </row>
    <row r="6" spans="1:29" ht="56.25" x14ac:dyDescent="0.2">
      <c r="A6" s="316" t="s">
        <v>63</v>
      </c>
      <c r="B6" s="414" t="s">
        <v>436</v>
      </c>
      <c r="C6" s="429">
        <v>31326</v>
      </c>
      <c r="D6" s="430">
        <v>443715</v>
      </c>
      <c r="E6" s="415">
        <v>43819.999988425923</v>
      </c>
      <c r="F6" s="418">
        <v>3</v>
      </c>
      <c r="G6" s="418">
        <v>446700.88</v>
      </c>
      <c r="H6" s="418">
        <v>0</v>
      </c>
      <c r="I6" s="418">
        <v>0</v>
      </c>
      <c r="J6" s="418">
        <v>3</v>
      </c>
      <c r="K6" s="428">
        <v>443715</v>
      </c>
      <c r="L6" s="418">
        <v>3</v>
      </c>
      <c r="M6" s="418">
        <v>2</v>
      </c>
      <c r="N6" s="418">
        <v>296805.44</v>
      </c>
      <c r="O6" s="418">
        <v>0</v>
      </c>
      <c r="P6" s="418">
        <v>0</v>
      </c>
      <c r="Q6" s="418">
        <f t="shared" ref="Q6:Q15" si="0">K6-N6</f>
        <v>146909.56</v>
      </c>
      <c r="R6" s="418">
        <v>2</v>
      </c>
      <c r="S6" s="418">
        <v>197018.97</v>
      </c>
      <c r="T6" s="418">
        <v>1</v>
      </c>
      <c r="U6" s="418">
        <v>27330.38</v>
      </c>
      <c r="W6" s="12"/>
    </row>
    <row r="7" spans="1:29" s="92" customFormat="1" ht="22.5" x14ac:dyDescent="0.2">
      <c r="A7" s="3" t="s">
        <v>63</v>
      </c>
      <c r="B7" s="236" t="s">
        <v>437</v>
      </c>
      <c r="C7" s="146">
        <v>32565</v>
      </c>
      <c r="D7" s="32">
        <v>300000</v>
      </c>
      <c r="E7" s="147">
        <v>44161</v>
      </c>
      <c r="F7" s="342">
        <v>2</v>
      </c>
      <c r="G7" s="342">
        <v>299486.8</v>
      </c>
      <c r="H7" s="342">
        <v>0</v>
      </c>
      <c r="I7" s="342">
        <v>0</v>
      </c>
      <c r="J7" s="342">
        <v>1</v>
      </c>
      <c r="K7" s="342">
        <v>148337.89000000001</v>
      </c>
      <c r="L7" s="342">
        <v>1</v>
      </c>
      <c r="M7" s="342">
        <v>1</v>
      </c>
      <c r="N7" s="342">
        <v>148337.89000000001</v>
      </c>
      <c r="O7" s="342">
        <v>1</v>
      </c>
      <c r="P7" s="342">
        <v>149708</v>
      </c>
      <c r="Q7" s="342">
        <f t="shared" si="0"/>
        <v>0</v>
      </c>
      <c r="R7" s="342">
        <v>0</v>
      </c>
      <c r="S7" s="342">
        <v>0</v>
      </c>
      <c r="T7" s="342">
        <v>0</v>
      </c>
      <c r="U7" s="342">
        <v>0</v>
      </c>
    </row>
    <row r="8" spans="1:29" s="92" customFormat="1" ht="33.75" x14ac:dyDescent="0.2">
      <c r="A8" s="57" t="s">
        <v>242</v>
      </c>
      <c r="B8" s="236" t="s">
        <v>438</v>
      </c>
      <c r="C8" s="146">
        <v>36701</v>
      </c>
      <c r="D8" s="32">
        <v>1102537.9099999999</v>
      </c>
      <c r="E8" s="147">
        <v>43893</v>
      </c>
      <c r="F8" s="342">
        <v>30</v>
      </c>
      <c r="G8" s="342">
        <v>1494970.69</v>
      </c>
      <c r="H8" s="342">
        <v>6</v>
      </c>
      <c r="I8" s="342">
        <v>276471.94</v>
      </c>
      <c r="J8" s="342">
        <v>24</v>
      </c>
      <c r="K8" s="342">
        <v>1097918.07</v>
      </c>
      <c r="L8" s="342">
        <v>24</v>
      </c>
      <c r="M8" s="342">
        <v>24</v>
      </c>
      <c r="N8" s="342">
        <v>1097918.07</v>
      </c>
      <c r="O8" s="342">
        <v>0</v>
      </c>
      <c r="P8" s="342">
        <v>0</v>
      </c>
      <c r="Q8" s="342">
        <f t="shared" si="0"/>
        <v>0</v>
      </c>
      <c r="R8" s="342">
        <v>24</v>
      </c>
      <c r="S8" s="342">
        <v>689378.07000000007</v>
      </c>
      <c r="T8" s="342">
        <v>22</v>
      </c>
      <c r="U8" s="342">
        <v>619378.07000000007</v>
      </c>
    </row>
    <row r="9" spans="1:29" s="92" customFormat="1" ht="33.75" x14ac:dyDescent="0.2">
      <c r="A9" s="363" t="s">
        <v>613</v>
      </c>
      <c r="B9" s="358" t="s">
        <v>614</v>
      </c>
      <c r="C9" s="356" t="s">
        <v>615</v>
      </c>
      <c r="D9" s="342">
        <v>0</v>
      </c>
      <c r="E9" s="343">
        <v>45473</v>
      </c>
      <c r="F9" s="342">
        <v>0</v>
      </c>
      <c r="G9" s="342">
        <v>0</v>
      </c>
      <c r="H9" s="342">
        <v>0</v>
      </c>
      <c r="I9" s="342">
        <v>0</v>
      </c>
      <c r="J9" s="342">
        <v>0</v>
      </c>
      <c r="K9" s="352">
        <v>0</v>
      </c>
      <c r="L9" s="342">
        <v>0</v>
      </c>
      <c r="M9" s="342">
        <v>0</v>
      </c>
      <c r="N9" s="342">
        <v>0</v>
      </c>
      <c r="O9" s="342">
        <v>0</v>
      </c>
      <c r="P9" s="342">
        <v>0</v>
      </c>
      <c r="Q9" s="366">
        <f t="shared" si="0"/>
        <v>0</v>
      </c>
      <c r="R9" s="342">
        <v>0</v>
      </c>
      <c r="S9" s="342">
        <v>0</v>
      </c>
      <c r="T9" s="342">
        <v>0</v>
      </c>
      <c r="U9" s="342">
        <v>0</v>
      </c>
    </row>
    <row r="10" spans="1:29" ht="56.25" x14ac:dyDescent="0.2">
      <c r="A10" s="333" t="s">
        <v>151</v>
      </c>
      <c r="B10" s="426" t="s">
        <v>522</v>
      </c>
      <c r="C10" s="427">
        <v>61707</v>
      </c>
      <c r="D10" s="430">
        <v>300000</v>
      </c>
      <c r="E10" s="415">
        <v>44742</v>
      </c>
      <c r="F10" s="418">
        <v>3</v>
      </c>
      <c r="G10" s="418">
        <v>427850</v>
      </c>
      <c r="H10" s="418">
        <v>0</v>
      </c>
      <c r="I10" s="418">
        <v>0</v>
      </c>
      <c r="J10" s="418">
        <v>2</v>
      </c>
      <c r="K10" s="428">
        <v>298947.37</v>
      </c>
      <c r="L10" s="418">
        <v>2</v>
      </c>
      <c r="M10" s="418">
        <v>2</v>
      </c>
      <c r="N10" s="418">
        <v>298947.37</v>
      </c>
      <c r="O10" s="418">
        <v>1</v>
      </c>
      <c r="P10" s="418">
        <v>127850</v>
      </c>
      <c r="Q10" s="417">
        <f t="shared" si="0"/>
        <v>0</v>
      </c>
      <c r="R10" s="418">
        <v>1</v>
      </c>
      <c r="S10" s="418">
        <v>150000</v>
      </c>
      <c r="T10" s="418">
        <v>1</v>
      </c>
      <c r="U10" s="418">
        <v>149958.57</v>
      </c>
      <c r="W10" s="12"/>
      <c r="X10" s="434"/>
      <c r="Y10" s="435"/>
      <c r="Z10" s="436"/>
      <c r="AB10" s="437"/>
      <c r="AC10" s="438"/>
    </row>
    <row r="11" spans="1:29" ht="33.75" x14ac:dyDescent="0.2">
      <c r="A11" s="333" t="s">
        <v>538</v>
      </c>
      <c r="B11" s="426" t="s">
        <v>559</v>
      </c>
      <c r="C11" s="427">
        <v>71102</v>
      </c>
      <c r="D11" s="430">
        <v>900000</v>
      </c>
      <c r="E11" s="415">
        <v>45077</v>
      </c>
      <c r="F11" s="418">
        <v>9</v>
      </c>
      <c r="G11" s="418">
        <v>807907.63</v>
      </c>
      <c r="H11" s="418">
        <v>2</v>
      </c>
      <c r="I11" s="418">
        <v>151468.10999999999</v>
      </c>
      <c r="J11" s="418">
        <v>5</v>
      </c>
      <c r="K11" s="418">
        <v>451468.11</v>
      </c>
      <c r="L11" s="418">
        <v>5</v>
      </c>
      <c r="M11" s="418">
        <v>5</v>
      </c>
      <c r="N11" s="418">
        <v>451468.11</v>
      </c>
      <c r="O11" s="418">
        <v>2</v>
      </c>
      <c r="P11" s="418">
        <v>187574.26</v>
      </c>
      <c r="Q11" s="417">
        <f t="shared" si="0"/>
        <v>0</v>
      </c>
      <c r="R11" s="418">
        <v>2</v>
      </c>
      <c r="S11" s="418">
        <v>150000</v>
      </c>
      <c r="T11" s="418">
        <v>2</v>
      </c>
      <c r="U11" s="418">
        <v>150000</v>
      </c>
      <c r="W11" s="12"/>
      <c r="X11" s="434"/>
      <c r="Y11" s="435"/>
      <c r="Z11" s="436"/>
      <c r="AA11" s="439"/>
      <c r="AB11" s="437"/>
      <c r="AC11" s="438"/>
    </row>
    <row r="12" spans="1:29" ht="56.25" x14ac:dyDescent="0.2">
      <c r="A12" s="333" t="s">
        <v>63</v>
      </c>
      <c r="B12" s="426" t="s">
        <v>593</v>
      </c>
      <c r="C12" s="427">
        <v>75781</v>
      </c>
      <c r="D12" s="430">
        <v>150000</v>
      </c>
      <c r="E12" s="415">
        <v>45384</v>
      </c>
      <c r="F12" s="418">
        <v>2</v>
      </c>
      <c r="G12" s="418">
        <v>236903.95</v>
      </c>
      <c r="H12" s="418">
        <v>0</v>
      </c>
      <c r="I12" s="418">
        <v>0</v>
      </c>
      <c r="J12" s="418">
        <v>2</v>
      </c>
      <c r="K12" s="418">
        <v>236903.95</v>
      </c>
      <c r="L12" s="418">
        <v>1</v>
      </c>
      <c r="M12" s="418">
        <v>1</v>
      </c>
      <c r="N12" s="418">
        <v>145280.55000000002</v>
      </c>
      <c r="O12" s="418">
        <v>0</v>
      </c>
      <c r="P12" s="418">
        <v>0</v>
      </c>
      <c r="Q12" s="417">
        <f t="shared" si="0"/>
        <v>91623.4</v>
      </c>
      <c r="R12" s="418">
        <v>1</v>
      </c>
      <c r="S12" s="418">
        <v>136050.23000000001</v>
      </c>
      <c r="T12" s="418">
        <v>0</v>
      </c>
      <c r="U12" s="418">
        <v>0</v>
      </c>
      <c r="W12" s="12"/>
      <c r="X12" s="434"/>
      <c r="Y12" s="435"/>
      <c r="Z12" s="436"/>
      <c r="AA12" s="439"/>
      <c r="AB12" s="437"/>
      <c r="AC12" s="438"/>
    </row>
    <row r="13" spans="1:29" ht="67.5" x14ac:dyDescent="0.2">
      <c r="A13" s="333" t="s">
        <v>273</v>
      </c>
      <c r="B13" s="426" t="s">
        <v>607</v>
      </c>
      <c r="C13" s="427">
        <v>78142</v>
      </c>
      <c r="D13" s="430">
        <v>600000</v>
      </c>
      <c r="E13" s="415">
        <v>45473</v>
      </c>
      <c r="F13" s="418">
        <v>8</v>
      </c>
      <c r="G13" s="418">
        <v>1618260.1800000002</v>
      </c>
      <c r="H13" s="418">
        <v>0</v>
      </c>
      <c r="I13" s="418">
        <v>0</v>
      </c>
      <c r="J13" s="342">
        <v>8</v>
      </c>
      <c r="K13" s="418">
        <v>1384965.2199999997</v>
      </c>
      <c r="L13" s="418">
        <v>8</v>
      </c>
      <c r="M13" s="418">
        <v>8</v>
      </c>
      <c r="N13" s="418">
        <v>1384965.2199999997</v>
      </c>
      <c r="O13" s="418">
        <v>0</v>
      </c>
      <c r="P13" s="418">
        <v>0</v>
      </c>
      <c r="Q13" s="417">
        <f t="shared" si="0"/>
        <v>0</v>
      </c>
      <c r="R13" s="418">
        <v>5</v>
      </c>
      <c r="S13" s="418">
        <v>791471.22</v>
      </c>
      <c r="T13" s="418">
        <v>0</v>
      </c>
      <c r="U13" s="418">
        <v>0</v>
      </c>
      <c r="W13" s="12"/>
      <c r="X13" s="434"/>
      <c r="AC13" s="438"/>
    </row>
    <row r="14" spans="1:29" ht="22.5" x14ac:dyDescent="0.2">
      <c r="A14" s="440" t="s">
        <v>245</v>
      </c>
      <c r="B14" s="426" t="s">
        <v>608</v>
      </c>
      <c r="C14" s="427">
        <v>78541</v>
      </c>
      <c r="D14" s="430">
        <v>400000</v>
      </c>
      <c r="E14" s="415">
        <v>45473</v>
      </c>
      <c r="F14" s="418">
        <v>6</v>
      </c>
      <c r="G14" s="418">
        <v>1169422.25</v>
      </c>
      <c r="H14" s="418">
        <v>0</v>
      </c>
      <c r="I14" s="418">
        <v>0</v>
      </c>
      <c r="J14" s="342">
        <v>6</v>
      </c>
      <c r="K14" s="418">
        <v>1111561.0900000001</v>
      </c>
      <c r="L14" s="418">
        <v>6</v>
      </c>
      <c r="M14" s="418">
        <v>6</v>
      </c>
      <c r="N14" s="418">
        <v>1111561.0900000001</v>
      </c>
      <c r="O14" s="418">
        <v>0</v>
      </c>
      <c r="P14" s="418">
        <v>0</v>
      </c>
      <c r="Q14" s="417">
        <f t="shared" si="0"/>
        <v>0</v>
      </c>
      <c r="R14" s="418">
        <v>3</v>
      </c>
      <c r="S14" s="418">
        <v>498467.44</v>
      </c>
      <c r="T14" s="418">
        <v>0</v>
      </c>
      <c r="U14" s="418">
        <v>0</v>
      </c>
      <c r="W14" s="12"/>
      <c r="X14" s="434"/>
      <c r="Y14" s="434"/>
      <c r="Z14" s="435"/>
      <c r="AA14" s="437"/>
      <c r="AB14" s="441"/>
      <c r="AC14" s="438"/>
    </row>
    <row r="15" spans="1:29" ht="33.75" x14ac:dyDescent="0.2">
      <c r="A15" s="333" t="s">
        <v>538</v>
      </c>
      <c r="B15" s="426" t="s">
        <v>559</v>
      </c>
      <c r="C15" s="427">
        <v>79545</v>
      </c>
      <c r="D15" s="430">
        <v>448531.89</v>
      </c>
      <c r="E15" s="442">
        <v>45473</v>
      </c>
      <c r="F15" s="418">
        <v>6</v>
      </c>
      <c r="G15" s="418">
        <v>588034.49</v>
      </c>
      <c r="H15" s="418">
        <v>1</v>
      </c>
      <c r="I15" s="418">
        <v>104067.27</v>
      </c>
      <c r="J15" s="342">
        <v>4</v>
      </c>
      <c r="K15" s="342">
        <v>372939.96</v>
      </c>
      <c r="L15" s="418">
        <v>4</v>
      </c>
      <c r="M15" s="418">
        <v>2</v>
      </c>
      <c r="N15" s="418">
        <v>204067.27000000002</v>
      </c>
      <c r="O15" s="418">
        <v>0</v>
      </c>
      <c r="P15" s="418">
        <v>0</v>
      </c>
      <c r="Q15" s="417">
        <f t="shared" si="0"/>
        <v>168872.69</v>
      </c>
      <c r="R15" s="418">
        <v>3</v>
      </c>
      <c r="S15" s="418">
        <v>129041.75</v>
      </c>
      <c r="T15" s="418">
        <v>2</v>
      </c>
      <c r="U15" s="418">
        <v>80000</v>
      </c>
      <c r="W15" s="12"/>
      <c r="X15" s="443"/>
      <c r="Y15" s="443"/>
      <c r="Z15" s="444"/>
      <c r="AA15" s="445"/>
      <c r="AB15" s="446"/>
      <c r="AC15" s="447"/>
    </row>
    <row r="16" spans="1:29" ht="17.45" customHeight="1" x14ac:dyDescent="0.2">
      <c r="A16" s="377" t="s">
        <v>613</v>
      </c>
      <c r="B16" s="457" t="s">
        <v>666</v>
      </c>
      <c r="C16" s="432">
        <v>82243</v>
      </c>
      <c r="D16" s="428">
        <v>2032005</v>
      </c>
      <c r="E16" s="494">
        <v>45504.999988425923</v>
      </c>
      <c r="F16" s="418">
        <v>19</v>
      </c>
      <c r="G16" s="418">
        <v>889085.04</v>
      </c>
      <c r="H16" s="418">
        <v>1</v>
      </c>
      <c r="I16" s="418">
        <v>15190.68</v>
      </c>
      <c r="J16" s="418">
        <v>18</v>
      </c>
      <c r="K16" s="418">
        <v>867068.36</v>
      </c>
      <c r="L16" s="418">
        <v>17</v>
      </c>
      <c r="M16" s="418">
        <v>11</v>
      </c>
      <c r="N16" s="418">
        <v>424094.36</v>
      </c>
      <c r="O16" s="418">
        <v>0</v>
      </c>
      <c r="P16" s="418">
        <v>0</v>
      </c>
      <c r="Q16" s="417">
        <f t="shared" ref="Q16:Q17" si="1">K16-N16</f>
        <v>442974</v>
      </c>
      <c r="R16" s="418">
        <v>11</v>
      </c>
      <c r="S16" s="418">
        <v>423207.77999999997</v>
      </c>
      <c r="T16" s="418">
        <v>0</v>
      </c>
      <c r="U16" s="418">
        <v>0</v>
      </c>
      <c r="W16" s="12"/>
      <c r="X16" s="443"/>
      <c r="Y16" s="443"/>
      <c r="Z16" s="444"/>
      <c r="AA16" s="445"/>
      <c r="AB16" s="446"/>
      <c r="AC16" s="447"/>
    </row>
    <row r="17" spans="1:29" s="92" customFormat="1" ht="17.45" customHeight="1" x14ac:dyDescent="0.2">
      <c r="A17" s="363" t="s">
        <v>273</v>
      </c>
      <c r="B17" s="355" t="s">
        <v>714</v>
      </c>
      <c r="C17" s="356">
        <v>87542</v>
      </c>
      <c r="D17" s="352">
        <v>1602374.97</v>
      </c>
      <c r="E17" s="360">
        <v>45856</v>
      </c>
      <c r="F17" s="342">
        <v>10</v>
      </c>
      <c r="G17" s="342">
        <v>1828859.68</v>
      </c>
      <c r="H17" s="342">
        <v>0</v>
      </c>
      <c r="I17" s="342">
        <v>0</v>
      </c>
      <c r="J17" s="342">
        <v>10</v>
      </c>
      <c r="K17" s="342">
        <v>1823140.81</v>
      </c>
      <c r="L17" s="342">
        <v>10</v>
      </c>
      <c r="M17" s="342">
        <v>10</v>
      </c>
      <c r="N17" s="342">
        <v>1823140.81</v>
      </c>
      <c r="O17" s="342">
        <v>0</v>
      </c>
      <c r="P17" s="342">
        <v>0</v>
      </c>
      <c r="Q17" s="366">
        <f t="shared" si="1"/>
        <v>0</v>
      </c>
      <c r="R17" s="342">
        <v>6</v>
      </c>
      <c r="S17" s="342">
        <v>1090573.1599999999</v>
      </c>
      <c r="T17" s="342">
        <v>0</v>
      </c>
      <c r="U17" s="342">
        <v>0</v>
      </c>
      <c r="X17" s="321"/>
      <c r="Y17" s="321"/>
      <c r="Z17" s="322"/>
      <c r="AA17" s="323"/>
      <c r="AB17" s="585"/>
      <c r="AC17" s="586"/>
    </row>
    <row r="18" spans="1:29" x14ac:dyDescent="0.2">
      <c r="A18" s="19" t="s">
        <v>1</v>
      </c>
      <c r="B18" s="19"/>
      <c r="C18" s="59"/>
      <c r="D18" s="20">
        <f>SUM(D6:D17)</f>
        <v>8279164.7699999996</v>
      </c>
      <c r="E18" s="20"/>
      <c r="F18" s="20">
        <f t="shared" ref="F18:U18" si="2">SUM(F6:F17)</f>
        <v>98</v>
      </c>
      <c r="G18" s="20">
        <f t="shared" si="2"/>
        <v>9807481.5900000017</v>
      </c>
      <c r="H18" s="20">
        <f t="shared" si="2"/>
        <v>10</v>
      </c>
      <c r="I18" s="20">
        <f t="shared" si="2"/>
        <v>547198</v>
      </c>
      <c r="J18" s="20">
        <f t="shared" si="2"/>
        <v>83</v>
      </c>
      <c r="K18" s="20">
        <f t="shared" si="2"/>
        <v>8236965.8300000001</v>
      </c>
      <c r="L18" s="20">
        <f t="shared" si="2"/>
        <v>81</v>
      </c>
      <c r="M18" s="20">
        <f t="shared" si="2"/>
        <v>72</v>
      </c>
      <c r="N18" s="20">
        <f t="shared" si="2"/>
        <v>7386586.1799999997</v>
      </c>
      <c r="O18" s="20">
        <f t="shared" si="2"/>
        <v>4</v>
      </c>
      <c r="P18" s="20">
        <f t="shared" si="2"/>
        <v>465132.26</v>
      </c>
      <c r="Q18" s="20">
        <f t="shared" si="2"/>
        <v>850379.65</v>
      </c>
      <c r="R18" s="20">
        <f t="shared" si="2"/>
        <v>58</v>
      </c>
      <c r="S18" s="20">
        <f t="shared" si="2"/>
        <v>4255208.62</v>
      </c>
      <c r="T18" s="20">
        <f t="shared" si="2"/>
        <v>28</v>
      </c>
      <c r="U18" s="20">
        <f t="shared" si="2"/>
        <v>1026667.02</v>
      </c>
      <c r="V18" s="92"/>
      <c r="W18" s="12"/>
    </row>
    <row r="19" spans="1:29" customFormat="1" ht="15" customHeight="1" x14ac:dyDescent="0.25">
      <c r="A19" s="210" t="s">
        <v>390</v>
      </c>
      <c r="B19" s="134"/>
      <c r="C19" s="134"/>
      <c r="D19" s="134"/>
      <c r="E19" s="134"/>
      <c r="F19" s="134"/>
      <c r="G19" s="134"/>
      <c r="H19" s="134"/>
      <c r="I19" s="134"/>
      <c r="J19" s="134"/>
      <c r="K19" s="134"/>
      <c r="L19" s="134"/>
      <c r="M19" s="134"/>
      <c r="N19" s="134"/>
      <c r="O19" s="134"/>
      <c r="P19" s="134"/>
      <c r="Q19" s="134"/>
      <c r="R19" s="134"/>
    </row>
    <row r="20" spans="1:29" s="23" customFormat="1" ht="21" customHeight="1" x14ac:dyDescent="0.25">
      <c r="A20" s="1124" t="s">
        <v>744</v>
      </c>
      <c r="B20" s="1124"/>
      <c r="C20" s="1124"/>
      <c r="D20" s="1124"/>
      <c r="E20" s="1124"/>
      <c r="F20" s="1124"/>
      <c r="G20" s="1124"/>
      <c r="H20" s="1124"/>
      <c r="I20" s="1124"/>
      <c r="J20" s="1124"/>
      <c r="K20" s="1124"/>
      <c r="L20" s="1124"/>
      <c r="M20" s="1124"/>
      <c r="N20" s="1124"/>
      <c r="O20" s="1124"/>
      <c r="P20" s="1124"/>
      <c r="Q20" s="1124"/>
      <c r="R20" s="1124"/>
      <c r="S20" s="1124"/>
      <c r="T20" s="1124"/>
      <c r="U20" s="1124"/>
      <c r="V20" s="87"/>
      <c r="W20" s="87"/>
    </row>
    <row r="21" spans="1:29" s="23" customFormat="1" ht="7.15" customHeight="1" x14ac:dyDescent="0.25">
      <c r="A21" s="183"/>
      <c r="B21" s="183"/>
      <c r="C21" s="183"/>
      <c r="D21" s="183"/>
      <c r="E21" s="183"/>
      <c r="F21" s="183"/>
      <c r="G21" s="183"/>
      <c r="H21" s="183"/>
      <c r="I21" s="183"/>
      <c r="J21" s="183"/>
      <c r="K21" s="183"/>
      <c r="L21" s="183"/>
      <c r="M21" s="183"/>
      <c r="N21" s="183"/>
      <c r="O21" s="183"/>
      <c r="P21" s="183"/>
      <c r="Q21" s="183"/>
      <c r="R21" s="183"/>
      <c r="S21" s="183"/>
      <c r="T21" s="183"/>
      <c r="U21" s="183"/>
      <c r="V21" s="87"/>
      <c r="W21" s="87"/>
    </row>
    <row r="22" spans="1:29" ht="12.6" customHeight="1" x14ac:dyDescent="0.2">
      <c r="A22" s="1125" t="s">
        <v>656</v>
      </c>
      <c r="B22" s="1125"/>
      <c r="C22" s="1126"/>
      <c r="D22" s="1125"/>
      <c r="E22" s="1125"/>
      <c r="F22" s="1125"/>
      <c r="G22" s="1125"/>
      <c r="H22" s="1126"/>
      <c r="I22" s="1126"/>
      <c r="J22" s="1125"/>
      <c r="K22" s="1125"/>
      <c r="L22" s="1125"/>
      <c r="M22" s="1125"/>
      <c r="N22" s="1125"/>
      <c r="O22" s="1125"/>
      <c r="P22" s="1125"/>
      <c r="Q22" s="1125"/>
      <c r="R22" s="1125"/>
      <c r="S22" s="1125"/>
      <c r="T22" s="1125"/>
      <c r="U22" s="1125"/>
    </row>
    <row r="23" spans="1:29" ht="20.25" customHeight="1" x14ac:dyDescent="0.2">
      <c r="A23" s="943" t="s">
        <v>248</v>
      </c>
      <c r="B23" s="943" t="s">
        <v>156</v>
      </c>
      <c r="C23" s="943" t="s">
        <v>282</v>
      </c>
      <c r="D23" s="943" t="s">
        <v>157</v>
      </c>
      <c r="E23" s="943" t="s">
        <v>158</v>
      </c>
      <c r="F23" s="968" t="s">
        <v>337</v>
      </c>
      <c r="G23" s="969"/>
      <c r="H23" s="968" t="s">
        <v>277</v>
      </c>
      <c r="I23" s="969"/>
      <c r="J23" s="968" t="s">
        <v>159</v>
      </c>
      <c r="K23" s="969"/>
      <c r="L23" s="947" t="s">
        <v>749</v>
      </c>
      <c r="M23" s="948"/>
      <c r="N23" s="948"/>
      <c r="O23" s="948"/>
      <c r="P23" s="949"/>
      <c r="Q23" s="943" t="s">
        <v>250</v>
      </c>
      <c r="R23" s="937" t="s">
        <v>750</v>
      </c>
      <c r="S23" s="938"/>
      <c r="T23" s="937" t="s">
        <v>751</v>
      </c>
      <c r="U23" s="938"/>
      <c r="V23" s="92"/>
    </row>
    <row r="24" spans="1:29" ht="10.15" customHeight="1" x14ac:dyDescent="0.2">
      <c r="A24" s="944"/>
      <c r="B24" s="944"/>
      <c r="C24" s="944"/>
      <c r="D24" s="944"/>
      <c r="E24" s="944"/>
      <c r="F24" s="939"/>
      <c r="G24" s="940"/>
      <c r="H24" s="939"/>
      <c r="I24" s="940"/>
      <c r="J24" s="939"/>
      <c r="K24" s="940"/>
      <c r="L24" s="975" t="s">
        <v>160</v>
      </c>
      <c r="M24" s="948"/>
      <c r="N24" s="949"/>
      <c r="O24" s="968" t="s">
        <v>626</v>
      </c>
      <c r="P24" s="969"/>
      <c r="Q24" s="944"/>
      <c r="R24" s="939"/>
      <c r="S24" s="940"/>
      <c r="T24" s="939"/>
      <c r="U24" s="940"/>
      <c r="V24" s="92"/>
    </row>
    <row r="25" spans="1:29" ht="21" customHeight="1" x14ac:dyDescent="0.2">
      <c r="A25" s="944"/>
      <c r="B25" s="944"/>
      <c r="C25" s="944"/>
      <c r="D25" s="944"/>
      <c r="E25" s="944"/>
      <c r="F25" s="941"/>
      <c r="G25" s="942"/>
      <c r="H25" s="941"/>
      <c r="I25" s="942"/>
      <c r="J25" s="941"/>
      <c r="K25" s="942"/>
      <c r="L25" s="950" t="s">
        <v>161</v>
      </c>
      <c r="M25" s="975" t="s">
        <v>247</v>
      </c>
      <c r="N25" s="949"/>
      <c r="O25" s="941"/>
      <c r="P25" s="942"/>
      <c r="Q25" s="946"/>
      <c r="R25" s="941"/>
      <c r="S25" s="942"/>
      <c r="T25" s="941"/>
      <c r="U25" s="942"/>
      <c r="V25" s="92"/>
    </row>
    <row r="26" spans="1:29" ht="21" x14ac:dyDescent="0.2">
      <c r="A26" s="946"/>
      <c r="B26" s="946"/>
      <c r="C26" s="946"/>
      <c r="D26" s="946"/>
      <c r="E26" s="946"/>
      <c r="F26" s="122" t="s">
        <v>161</v>
      </c>
      <c r="G26" s="123" t="s">
        <v>162</v>
      </c>
      <c r="H26" s="15" t="s">
        <v>161</v>
      </c>
      <c r="I26" s="16" t="s">
        <v>162</v>
      </c>
      <c r="J26" s="122" t="s">
        <v>161</v>
      </c>
      <c r="K26" s="123" t="s">
        <v>162</v>
      </c>
      <c r="L26" s="1119"/>
      <c r="M26" s="154" t="s">
        <v>161</v>
      </c>
      <c r="N26" s="125" t="s">
        <v>162</v>
      </c>
      <c r="O26" s="154" t="s">
        <v>161</v>
      </c>
      <c r="P26" s="125" t="s">
        <v>162</v>
      </c>
      <c r="Q26" s="16" t="s">
        <v>162</v>
      </c>
      <c r="R26" s="15" t="s">
        <v>161</v>
      </c>
      <c r="S26" s="16" t="s">
        <v>162</v>
      </c>
      <c r="T26" s="77" t="s">
        <v>161</v>
      </c>
      <c r="U26" s="78" t="s">
        <v>162</v>
      </c>
      <c r="V26" s="92"/>
    </row>
    <row r="27" spans="1:29" ht="22.5" x14ac:dyDescent="0.25">
      <c r="A27" s="333" t="s">
        <v>242</v>
      </c>
      <c r="B27" s="414" t="s">
        <v>433</v>
      </c>
      <c r="C27" s="333">
        <v>40461</v>
      </c>
      <c r="D27" s="413">
        <v>601729.67000000004</v>
      </c>
      <c r="E27" s="415">
        <v>44073</v>
      </c>
      <c r="F27" s="416">
        <v>22</v>
      </c>
      <c r="G27" s="417">
        <v>880000</v>
      </c>
      <c r="H27" s="418">
        <v>0</v>
      </c>
      <c r="I27" s="418">
        <v>0</v>
      </c>
      <c r="J27" s="418">
        <v>14</v>
      </c>
      <c r="K27" s="418">
        <v>560000</v>
      </c>
      <c r="L27" s="418">
        <v>14</v>
      </c>
      <c r="M27" s="418">
        <v>14</v>
      </c>
      <c r="N27" s="418">
        <v>560000</v>
      </c>
      <c r="O27" s="418">
        <v>8</v>
      </c>
      <c r="P27" s="418">
        <v>320000</v>
      </c>
      <c r="Q27" s="418">
        <f>K27-N27</f>
        <v>0</v>
      </c>
      <c r="R27" s="418">
        <v>27</v>
      </c>
      <c r="S27" s="418">
        <v>548000</v>
      </c>
      <c r="T27" s="418">
        <v>28</v>
      </c>
      <c r="U27" s="418">
        <v>576000</v>
      </c>
      <c r="W27" s="12"/>
      <c r="Y27" s="230"/>
      <c r="Z27" s="249"/>
    </row>
    <row r="28" spans="1:29" ht="15" x14ac:dyDescent="0.25">
      <c r="A28" s="333" t="s">
        <v>538</v>
      </c>
      <c r="B28" s="414" t="s">
        <v>434</v>
      </c>
      <c r="C28" s="257" t="s">
        <v>631</v>
      </c>
      <c r="D28" s="413">
        <v>269122.40000000002</v>
      </c>
      <c r="E28" s="415">
        <v>44073</v>
      </c>
      <c r="F28" s="417">
        <v>8</v>
      </c>
      <c r="G28" s="417">
        <v>318507.28000000003</v>
      </c>
      <c r="H28" s="418">
        <v>0</v>
      </c>
      <c r="I28" s="418">
        <v>0</v>
      </c>
      <c r="J28" s="418">
        <v>5</v>
      </c>
      <c r="K28" s="418">
        <f>269122.39-38097.72-40000</f>
        <v>191024.67</v>
      </c>
      <c r="L28" s="418">
        <v>5</v>
      </c>
      <c r="M28" s="418">
        <v>5</v>
      </c>
      <c r="N28" s="418">
        <f>269122.39-38097.72-40000</f>
        <v>191024.67</v>
      </c>
      <c r="O28" s="418">
        <v>3</v>
      </c>
      <c r="P28" s="418">
        <f>39996+38097.72+40000</f>
        <v>118093.72</v>
      </c>
      <c r="Q28" s="418">
        <f>K28-N28</f>
        <v>0</v>
      </c>
      <c r="R28" s="418">
        <v>12</v>
      </c>
      <c r="S28" s="418">
        <v>230073.53000000003</v>
      </c>
      <c r="T28" s="418">
        <v>11</v>
      </c>
      <c r="U28" s="418">
        <v>208568.59</v>
      </c>
      <c r="W28" s="12"/>
      <c r="X28" s="419"/>
      <c r="Y28" s="249"/>
      <c r="Z28" s="249"/>
    </row>
    <row r="29" spans="1:29" ht="22.5" x14ac:dyDescent="0.25">
      <c r="A29" s="333" t="s">
        <v>539</v>
      </c>
      <c r="B29" s="414" t="s">
        <v>435</v>
      </c>
      <c r="C29" s="257">
        <v>41041</v>
      </c>
      <c r="D29" s="413">
        <v>671362.16</v>
      </c>
      <c r="E29" s="415">
        <v>44073</v>
      </c>
      <c r="F29" s="417">
        <v>24</v>
      </c>
      <c r="G29" s="417">
        <v>943719.81000000017</v>
      </c>
      <c r="H29" s="418">
        <v>0</v>
      </c>
      <c r="I29" s="418">
        <v>0</v>
      </c>
      <c r="J29" s="418">
        <v>14</v>
      </c>
      <c r="K29" s="418">
        <v>473713.92000000004</v>
      </c>
      <c r="L29" s="418">
        <v>14</v>
      </c>
      <c r="M29" s="418">
        <v>14</v>
      </c>
      <c r="N29" s="418">
        <v>473713.92000000004</v>
      </c>
      <c r="O29" s="418">
        <f>8+2</f>
        <v>10</v>
      </c>
      <c r="P29" s="418">
        <f>315255.56+60525.65</f>
        <v>375781.21</v>
      </c>
      <c r="Q29" s="418">
        <f>K29-N29</f>
        <v>0</v>
      </c>
      <c r="R29" s="418">
        <v>17</v>
      </c>
      <c r="S29" s="418">
        <v>332231.45</v>
      </c>
      <c r="T29" s="418">
        <v>9</v>
      </c>
      <c r="U29" s="418">
        <v>150099.82</v>
      </c>
      <c r="W29" s="12"/>
      <c r="Y29" s="230"/>
      <c r="Z29" s="249"/>
    </row>
    <row r="30" spans="1:29" ht="23.45" customHeight="1" x14ac:dyDescent="0.25">
      <c r="A30" s="333" t="s">
        <v>539</v>
      </c>
      <c r="B30" s="414" t="s">
        <v>536</v>
      </c>
      <c r="C30" s="257">
        <v>41062</v>
      </c>
      <c r="D30" s="413">
        <v>309485.85000000003</v>
      </c>
      <c r="E30" s="415">
        <v>44073</v>
      </c>
      <c r="F30" s="417">
        <v>13</v>
      </c>
      <c r="G30" s="417">
        <v>449668.86</v>
      </c>
      <c r="H30" s="418">
        <v>0</v>
      </c>
      <c r="I30" s="418">
        <v>0</v>
      </c>
      <c r="J30" s="418">
        <v>5</v>
      </c>
      <c r="K30" s="418">
        <f>201261.05-29401.42</f>
        <v>171859.63</v>
      </c>
      <c r="L30" s="418">
        <v>5</v>
      </c>
      <c r="M30" s="418">
        <v>5</v>
      </c>
      <c r="N30" s="418">
        <f>201261.05-29401.42</f>
        <v>171859.63</v>
      </c>
      <c r="O30" s="418">
        <v>8</v>
      </c>
      <c r="P30" s="418">
        <f>245824.4+29401.42</f>
        <v>275225.82</v>
      </c>
      <c r="Q30" s="418">
        <f>K30-N30</f>
        <v>0</v>
      </c>
      <c r="R30" s="418">
        <v>6</v>
      </c>
      <c r="S30" s="418">
        <v>135306.38999999998</v>
      </c>
      <c r="T30" s="342">
        <v>5</v>
      </c>
      <c r="U30" s="342">
        <v>117399.15999999999</v>
      </c>
      <c r="W30" s="12"/>
      <c r="Y30" s="249"/>
      <c r="Z30" s="230"/>
    </row>
    <row r="31" spans="1:29" ht="31.9" customHeight="1" x14ac:dyDescent="0.25">
      <c r="A31" s="333" t="s">
        <v>275</v>
      </c>
      <c r="B31" s="414" t="s">
        <v>374</v>
      </c>
      <c r="C31" s="333">
        <v>52221</v>
      </c>
      <c r="D31" s="413">
        <v>399171.2</v>
      </c>
      <c r="E31" s="415">
        <v>44408</v>
      </c>
      <c r="F31" s="417">
        <v>13</v>
      </c>
      <c r="G31" s="417">
        <v>399171.19999999995</v>
      </c>
      <c r="H31" s="418">
        <v>0</v>
      </c>
      <c r="I31" s="418">
        <v>0</v>
      </c>
      <c r="J31" s="418">
        <f>F31-O31</f>
        <v>6</v>
      </c>
      <c r="K31" s="418">
        <v>217333.59999999995</v>
      </c>
      <c r="L31" s="418">
        <v>4</v>
      </c>
      <c r="M31" s="418">
        <v>4</v>
      </c>
      <c r="N31" s="418">
        <v>128371.33</v>
      </c>
      <c r="O31" s="418">
        <v>7</v>
      </c>
      <c r="P31" s="418">
        <v>181837.6</v>
      </c>
      <c r="Q31" s="418">
        <f>K31-N31</f>
        <v>88962.269999999946</v>
      </c>
      <c r="R31" s="418">
        <v>4</v>
      </c>
      <c r="S31" s="418">
        <v>61016.22</v>
      </c>
      <c r="T31" s="418">
        <v>3</v>
      </c>
      <c r="U31" s="418">
        <v>45631.62</v>
      </c>
      <c r="W31" s="12"/>
      <c r="Y31" s="230"/>
      <c r="Z31" s="249"/>
    </row>
    <row r="32" spans="1:29" ht="19.899999999999999" customHeight="1" x14ac:dyDescent="0.25">
      <c r="A32" s="333" t="s">
        <v>236</v>
      </c>
      <c r="B32" s="414" t="s">
        <v>469</v>
      </c>
      <c r="C32" s="333">
        <v>59362</v>
      </c>
      <c r="D32" s="413">
        <v>645129.9</v>
      </c>
      <c r="E32" s="415">
        <v>44592</v>
      </c>
      <c r="F32" s="418">
        <v>33</v>
      </c>
      <c r="G32" s="418">
        <v>817595.75999999989</v>
      </c>
      <c r="H32" s="418">
        <v>0</v>
      </c>
      <c r="I32" s="418">
        <v>0</v>
      </c>
      <c r="J32" s="418">
        <f>F32-O32</f>
        <v>29</v>
      </c>
      <c r="K32" s="418">
        <f>G32-P32</f>
        <v>732415.44</v>
      </c>
      <c r="L32" s="418">
        <v>21</v>
      </c>
      <c r="M32" s="418">
        <v>21</v>
      </c>
      <c r="N32" s="418">
        <v>456486.70999999996</v>
      </c>
      <c r="O32" s="418">
        <v>4</v>
      </c>
      <c r="P32" s="418">
        <v>85180.32</v>
      </c>
      <c r="Q32" s="418">
        <f t="shared" ref="Q32:Q41" si="3">K32-N32</f>
        <v>275928.73</v>
      </c>
      <c r="R32" s="418">
        <v>19</v>
      </c>
      <c r="S32" s="418">
        <v>297399.09000000003</v>
      </c>
      <c r="T32" s="418">
        <v>11</v>
      </c>
      <c r="U32" s="418">
        <v>169310.03</v>
      </c>
      <c r="W32" s="12"/>
      <c r="Y32" s="249"/>
      <c r="Z32" s="230"/>
    </row>
    <row r="33" spans="1:26" ht="22.5" x14ac:dyDescent="0.25">
      <c r="A33" s="333" t="s">
        <v>365</v>
      </c>
      <c r="B33" s="414" t="s">
        <v>523</v>
      </c>
      <c r="C33" s="333">
        <v>66442</v>
      </c>
      <c r="D33" s="413">
        <v>275000</v>
      </c>
      <c r="E33" s="415">
        <v>44660</v>
      </c>
      <c r="F33" s="418">
        <v>2</v>
      </c>
      <c r="G33" s="418">
        <v>500000</v>
      </c>
      <c r="H33" s="418">
        <v>0</v>
      </c>
      <c r="I33" s="418">
        <v>0</v>
      </c>
      <c r="J33" s="418">
        <v>2</v>
      </c>
      <c r="K33" s="418">
        <v>500000</v>
      </c>
      <c r="L33" s="418">
        <v>2</v>
      </c>
      <c r="M33" s="418">
        <v>2</v>
      </c>
      <c r="N33" s="418">
        <v>500000</v>
      </c>
      <c r="O33" s="418">
        <v>0</v>
      </c>
      <c r="P33" s="418">
        <v>0</v>
      </c>
      <c r="Q33" s="418">
        <f t="shared" si="3"/>
        <v>0</v>
      </c>
      <c r="R33" s="418">
        <v>2</v>
      </c>
      <c r="S33" s="418">
        <v>155000</v>
      </c>
      <c r="T33" s="418">
        <v>1</v>
      </c>
      <c r="U33" s="418">
        <v>74985.38</v>
      </c>
      <c r="W33" s="12"/>
      <c r="Y33" s="230"/>
      <c r="Z33" s="421"/>
    </row>
    <row r="34" spans="1:26" ht="41.45" customHeight="1" x14ac:dyDescent="0.25">
      <c r="A34" s="333" t="s">
        <v>63</v>
      </c>
      <c r="B34" s="414" t="s">
        <v>525</v>
      </c>
      <c r="C34" s="333">
        <v>69642</v>
      </c>
      <c r="D34" s="413">
        <v>250000</v>
      </c>
      <c r="E34" s="415">
        <v>44938</v>
      </c>
      <c r="F34" s="418">
        <v>1</v>
      </c>
      <c r="G34" s="418">
        <v>250000</v>
      </c>
      <c r="H34" s="418">
        <v>0</v>
      </c>
      <c r="I34" s="418">
        <v>0</v>
      </c>
      <c r="J34" s="418">
        <v>0</v>
      </c>
      <c r="K34" s="418">
        <v>0</v>
      </c>
      <c r="L34" s="418">
        <v>0</v>
      </c>
      <c r="M34" s="418">
        <v>0</v>
      </c>
      <c r="N34" s="418">
        <v>0</v>
      </c>
      <c r="O34" s="418">
        <v>1</v>
      </c>
      <c r="P34" s="418">
        <v>250000</v>
      </c>
      <c r="Q34" s="418">
        <f t="shared" si="3"/>
        <v>0</v>
      </c>
      <c r="R34" s="418">
        <v>0</v>
      </c>
      <c r="S34" s="418">
        <v>0</v>
      </c>
      <c r="T34" s="418">
        <v>0</v>
      </c>
      <c r="U34" s="418">
        <v>0</v>
      </c>
      <c r="W34" s="12"/>
      <c r="Y34" s="230"/>
      <c r="Z34" s="421"/>
    </row>
    <row r="35" spans="1:26" ht="45" x14ac:dyDescent="0.25">
      <c r="A35" s="333" t="s">
        <v>365</v>
      </c>
      <c r="B35" s="414" t="s">
        <v>524</v>
      </c>
      <c r="C35" s="333">
        <v>69583</v>
      </c>
      <c r="D35" s="413">
        <v>249178.82</v>
      </c>
      <c r="E35" s="415">
        <v>44938</v>
      </c>
      <c r="F35" s="418">
        <v>1</v>
      </c>
      <c r="G35" s="418">
        <v>249178.82</v>
      </c>
      <c r="H35" s="418">
        <v>0</v>
      </c>
      <c r="I35" s="418">
        <v>0</v>
      </c>
      <c r="J35" s="418">
        <v>1</v>
      </c>
      <c r="K35" s="418">
        <v>229178.82</v>
      </c>
      <c r="L35" s="418">
        <v>1</v>
      </c>
      <c r="M35" s="418">
        <v>1</v>
      </c>
      <c r="N35" s="418">
        <v>229178.82</v>
      </c>
      <c r="O35" s="418">
        <v>0</v>
      </c>
      <c r="P35" s="418">
        <v>0</v>
      </c>
      <c r="Q35" s="418">
        <f t="shared" si="3"/>
        <v>0</v>
      </c>
      <c r="R35" s="418">
        <v>0</v>
      </c>
      <c r="S35" s="418">
        <v>0</v>
      </c>
      <c r="T35" s="418">
        <v>0</v>
      </c>
      <c r="U35" s="418">
        <v>0</v>
      </c>
      <c r="W35" s="12"/>
      <c r="Y35" s="230"/>
      <c r="Z35" s="421"/>
    </row>
    <row r="36" spans="1:26" ht="28.15" customHeight="1" x14ac:dyDescent="0.25">
      <c r="A36" s="422" t="s">
        <v>151</v>
      </c>
      <c r="B36" s="423" t="s">
        <v>566</v>
      </c>
      <c r="C36" s="422">
        <v>71947</v>
      </c>
      <c r="D36" s="424">
        <v>293333</v>
      </c>
      <c r="E36" s="425">
        <v>45048</v>
      </c>
      <c r="F36" s="418">
        <v>2</v>
      </c>
      <c r="G36" s="418">
        <v>450000</v>
      </c>
      <c r="H36" s="418">
        <v>0</v>
      </c>
      <c r="I36" s="418">
        <v>0</v>
      </c>
      <c r="J36" s="418">
        <v>2</v>
      </c>
      <c r="K36" s="418">
        <v>450000</v>
      </c>
      <c r="L36" s="418">
        <v>2</v>
      </c>
      <c r="M36" s="418">
        <v>2</v>
      </c>
      <c r="N36" s="418">
        <v>450000</v>
      </c>
      <c r="O36" s="418">
        <v>0</v>
      </c>
      <c r="P36" s="418">
        <v>0</v>
      </c>
      <c r="Q36" s="418">
        <f t="shared" si="3"/>
        <v>0</v>
      </c>
      <c r="R36" s="418">
        <v>0</v>
      </c>
      <c r="S36" s="418">
        <v>0</v>
      </c>
      <c r="T36" s="418">
        <v>0</v>
      </c>
      <c r="U36" s="418">
        <v>0</v>
      </c>
      <c r="W36" s="12"/>
      <c r="Y36" s="230"/>
      <c r="Z36" s="421"/>
    </row>
    <row r="37" spans="1:26" ht="37.15" customHeight="1" x14ac:dyDescent="0.25">
      <c r="A37" s="422" t="s">
        <v>151</v>
      </c>
      <c r="B37" s="423" t="s">
        <v>567</v>
      </c>
      <c r="C37" s="422">
        <v>72004</v>
      </c>
      <c r="D37" s="424">
        <v>250000</v>
      </c>
      <c r="E37" s="425">
        <v>45048</v>
      </c>
      <c r="F37" s="418">
        <v>1</v>
      </c>
      <c r="G37" s="418">
        <v>250000</v>
      </c>
      <c r="H37" s="418">
        <v>0</v>
      </c>
      <c r="I37" s="418">
        <v>0</v>
      </c>
      <c r="J37" s="418">
        <v>1</v>
      </c>
      <c r="K37" s="418">
        <v>238000</v>
      </c>
      <c r="L37" s="418">
        <v>1</v>
      </c>
      <c r="M37" s="418">
        <v>1</v>
      </c>
      <c r="N37" s="418">
        <v>238000</v>
      </c>
      <c r="O37" s="418">
        <v>0</v>
      </c>
      <c r="P37" s="418">
        <v>0</v>
      </c>
      <c r="Q37" s="418">
        <f t="shared" si="3"/>
        <v>0</v>
      </c>
      <c r="R37" s="418">
        <v>0</v>
      </c>
      <c r="S37" s="418">
        <v>0</v>
      </c>
      <c r="T37" s="418">
        <v>0</v>
      </c>
      <c r="U37" s="418">
        <v>0</v>
      </c>
      <c r="W37" s="12"/>
      <c r="Y37" s="230"/>
      <c r="Z37" s="421"/>
    </row>
    <row r="38" spans="1:26" ht="22.5" x14ac:dyDescent="0.25">
      <c r="A38" s="333" t="s">
        <v>242</v>
      </c>
      <c r="B38" s="426" t="s">
        <v>433</v>
      </c>
      <c r="C38" s="427">
        <v>78622</v>
      </c>
      <c r="D38" s="424">
        <v>160000</v>
      </c>
      <c r="E38" s="147">
        <v>45381</v>
      </c>
      <c r="F38" s="342">
        <v>25</v>
      </c>
      <c r="G38" s="342">
        <v>1000000</v>
      </c>
      <c r="H38" s="418">
        <v>3</v>
      </c>
      <c r="I38" s="418">
        <v>120000</v>
      </c>
      <c r="J38" s="418">
        <v>16</v>
      </c>
      <c r="K38" s="418">
        <v>640000</v>
      </c>
      <c r="L38" s="418">
        <v>16</v>
      </c>
      <c r="M38" s="418">
        <v>16</v>
      </c>
      <c r="N38" s="418">
        <v>640000</v>
      </c>
      <c r="O38" s="418">
        <v>6</v>
      </c>
      <c r="P38" s="418">
        <v>240000</v>
      </c>
      <c r="Q38" s="418">
        <f t="shared" si="3"/>
        <v>0</v>
      </c>
      <c r="R38" s="418">
        <v>25</v>
      </c>
      <c r="S38" s="418">
        <v>540000</v>
      </c>
      <c r="T38" s="418">
        <v>21</v>
      </c>
      <c r="U38" s="418">
        <v>460000</v>
      </c>
      <c r="W38" s="12"/>
      <c r="Y38" s="230"/>
      <c r="Z38" s="421"/>
    </row>
    <row r="39" spans="1:26" ht="22.15" customHeight="1" x14ac:dyDescent="0.25">
      <c r="A39" s="333" t="s">
        <v>539</v>
      </c>
      <c r="B39" s="426" t="s">
        <v>536</v>
      </c>
      <c r="C39" s="427">
        <v>78627</v>
      </c>
      <c r="D39" s="424">
        <v>54018.6</v>
      </c>
      <c r="E39" s="147">
        <v>45381</v>
      </c>
      <c r="F39" s="342">
        <v>9</v>
      </c>
      <c r="G39" s="342">
        <v>241986.56</v>
      </c>
      <c r="H39" s="418">
        <v>1</v>
      </c>
      <c r="I39" s="418">
        <v>33411.599999999991</v>
      </c>
      <c r="J39" s="418">
        <v>4</v>
      </c>
      <c r="K39" s="418">
        <v>72892.2</v>
      </c>
      <c r="L39" s="418">
        <v>4</v>
      </c>
      <c r="M39" s="418">
        <v>4</v>
      </c>
      <c r="N39" s="418">
        <v>72892.2</v>
      </c>
      <c r="O39" s="418">
        <v>4</v>
      </c>
      <c r="P39" s="418">
        <v>135682.76</v>
      </c>
      <c r="Q39" s="418">
        <f t="shared" si="3"/>
        <v>0</v>
      </c>
      <c r="R39" s="418">
        <v>5</v>
      </c>
      <c r="S39" s="418">
        <v>54524</v>
      </c>
      <c r="T39" s="418">
        <v>4</v>
      </c>
      <c r="U39" s="418">
        <v>47404.89</v>
      </c>
      <c r="W39" s="12"/>
      <c r="Y39" s="230"/>
      <c r="Z39" s="421"/>
    </row>
    <row r="40" spans="1:26" ht="45" customHeight="1" x14ac:dyDescent="0.25">
      <c r="A40" s="333" t="s">
        <v>63</v>
      </c>
      <c r="B40" s="426" t="s">
        <v>525</v>
      </c>
      <c r="C40" s="427">
        <v>78628</v>
      </c>
      <c r="D40" s="424">
        <v>150000</v>
      </c>
      <c r="E40" s="147">
        <v>45381</v>
      </c>
      <c r="F40" s="342">
        <v>0</v>
      </c>
      <c r="G40" s="342">
        <v>0</v>
      </c>
      <c r="H40" s="418">
        <v>0</v>
      </c>
      <c r="I40" s="418">
        <v>0</v>
      </c>
      <c r="J40" s="418">
        <v>0</v>
      </c>
      <c r="K40" s="428">
        <v>0</v>
      </c>
      <c r="L40" s="418">
        <v>0</v>
      </c>
      <c r="M40" s="418">
        <v>0</v>
      </c>
      <c r="N40" s="418">
        <v>0</v>
      </c>
      <c r="O40" s="418">
        <v>0</v>
      </c>
      <c r="P40" s="418">
        <v>0</v>
      </c>
      <c r="Q40" s="418">
        <f t="shared" si="3"/>
        <v>0</v>
      </c>
      <c r="R40" s="418">
        <v>0</v>
      </c>
      <c r="S40" s="418">
        <v>0</v>
      </c>
      <c r="T40" s="418">
        <v>0</v>
      </c>
      <c r="U40" s="418">
        <v>0</v>
      </c>
      <c r="W40" s="12"/>
      <c r="Y40" s="230"/>
      <c r="Z40" s="421"/>
    </row>
    <row r="41" spans="1:26" ht="22.9" customHeight="1" x14ac:dyDescent="0.25">
      <c r="A41" s="333" t="s">
        <v>539</v>
      </c>
      <c r="B41" s="426" t="s">
        <v>536</v>
      </c>
      <c r="C41" s="427">
        <v>78642</v>
      </c>
      <c r="D41" s="424">
        <v>70000</v>
      </c>
      <c r="E41" s="147">
        <v>45381</v>
      </c>
      <c r="F41" s="342">
        <v>12</v>
      </c>
      <c r="G41" s="342">
        <v>432446.15</v>
      </c>
      <c r="H41" s="418">
        <v>0</v>
      </c>
      <c r="I41" s="418">
        <v>0</v>
      </c>
      <c r="J41" s="418">
        <v>8</v>
      </c>
      <c r="K41" s="418">
        <v>308086.91000000003</v>
      </c>
      <c r="L41" s="418">
        <v>8</v>
      </c>
      <c r="M41" s="418">
        <v>8</v>
      </c>
      <c r="N41" s="418">
        <v>308086.91000000003</v>
      </c>
      <c r="O41" s="418">
        <v>4</v>
      </c>
      <c r="P41" s="418">
        <v>118390.01000000001</v>
      </c>
      <c r="Q41" s="418">
        <f t="shared" si="3"/>
        <v>0</v>
      </c>
      <c r="R41" s="418">
        <v>8</v>
      </c>
      <c r="S41" s="418">
        <v>192766.66</v>
      </c>
      <c r="T41" s="418">
        <v>4</v>
      </c>
      <c r="U41" s="418">
        <v>97209</v>
      </c>
      <c r="W41" s="12"/>
      <c r="Y41" s="230"/>
      <c r="Z41" s="421"/>
    </row>
    <row r="42" spans="1:26" s="92" customFormat="1" ht="22.9" customHeight="1" x14ac:dyDescent="0.25">
      <c r="A42" s="363" t="s">
        <v>273</v>
      </c>
      <c r="B42" s="355" t="s">
        <v>714</v>
      </c>
      <c r="C42" s="356">
        <v>87742</v>
      </c>
      <c r="D42" s="352">
        <v>1456849.07</v>
      </c>
      <c r="E42" s="360">
        <v>45874.00068287037</v>
      </c>
      <c r="F42" s="342">
        <v>16</v>
      </c>
      <c r="G42" s="342">
        <v>1332807.44</v>
      </c>
      <c r="H42" s="342">
        <v>0</v>
      </c>
      <c r="I42" s="342">
        <v>0</v>
      </c>
      <c r="J42" s="342">
        <v>16</v>
      </c>
      <c r="K42" s="342">
        <v>1332807.44</v>
      </c>
      <c r="L42" s="418">
        <v>16</v>
      </c>
      <c r="M42" s="342">
        <v>0</v>
      </c>
      <c r="N42" s="342">
        <v>0</v>
      </c>
      <c r="O42" s="342">
        <v>0</v>
      </c>
      <c r="P42" s="342">
        <v>0</v>
      </c>
      <c r="Q42" s="342">
        <f t="shared" ref="Q42" si="4">K42-N42</f>
        <v>1332807.44</v>
      </c>
      <c r="R42" s="342">
        <v>0</v>
      </c>
      <c r="S42" s="342">
        <v>0</v>
      </c>
      <c r="T42" s="342">
        <v>0</v>
      </c>
      <c r="U42" s="342">
        <v>0</v>
      </c>
      <c r="Y42" s="196"/>
      <c r="Z42" s="587"/>
    </row>
    <row r="43" spans="1:26" x14ac:dyDescent="0.2">
      <c r="A43" s="19" t="s">
        <v>1</v>
      </c>
      <c r="B43" s="19"/>
      <c r="C43" s="59"/>
      <c r="D43" s="20">
        <f>SUM(D27:D42)</f>
        <v>6104380.6699999999</v>
      </c>
      <c r="E43" s="20"/>
      <c r="F43" s="20">
        <f t="shared" ref="F43:U43" si="5">SUM(F27:F42)</f>
        <v>182</v>
      </c>
      <c r="G43" s="20">
        <f t="shared" si="5"/>
        <v>8515081.8800000008</v>
      </c>
      <c r="H43" s="20">
        <f t="shared" si="5"/>
        <v>4</v>
      </c>
      <c r="I43" s="20">
        <f t="shared" si="5"/>
        <v>153411.59999999998</v>
      </c>
      <c r="J43" s="20">
        <f t="shared" si="5"/>
        <v>123</v>
      </c>
      <c r="K43" s="20">
        <f t="shared" si="5"/>
        <v>6117312.6300000008</v>
      </c>
      <c r="L43" s="20">
        <f t="shared" si="5"/>
        <v>113</v>
      </c>
      <c r="M43" s="20">
        <f t="shared" si="5"/>
        <v>97</v>
      </c>
      <c r="N43" s="20">
        <f t="shared" si="5"/>
        <v>4419614.1900000004</v>
      </c>
      <c r="O43" s="20">
        <f t="shared" si="5"/>
        <v>55</v>
      </c>
      <c r="P43" s="20">
        <f t="shared" si="5"/>
        <v>2100191.4400000004</v>
      </c>
      <c r="Q43" s="20">
        <f t="shared" si="5"/>
        <v>1697698.44</v>
      </c>
      <c r="R43" s="20">
        <f t="shared" si="5"/>
        <v>125</v>
      </c>
      <c r="S43" s="20">
        <f t="shared" si="5"/>
        <v>2546317.34</v>
      </c>
      <c r="T43" s="20">
        <f t="shared" si="5"/>
        <v>97</v>
      </c>
      <c r="U43" s="20">
        <f t="shared" si="5"/>
        <v>1946608.49</v>
      </c>
    </row>
    <row r="44" spans="1:26" customFormat="1" ht="15" customHeight="1" x14ac:dyDescent="0.25">
      <c r="A44" s="210" t="s">
        <v>390</v>
      </c>
      <c r="B44" s="134"/>
      <c r="C44" s="134"/>
      <c r="D44" s="134"/>
      <c r="E44" s="134"/>
      <c r="F44" s="134"/>
      <c r="G44" s="134"/>
      <c r="H44" s="134"/>
      <c r="I44" s="134"/>
      <c r="J44" s="134"/>
      <c r="K44" s="134"/>
      <c r="L44" s="134"/>
      <c r="M44" s="134"/>
      <c r="N44" s="134"/>
      <c r="O44" s="134"/>
      <c r="P44" s="134"/>
      <c r="Q44" s="134"/>
      <c r="R44" s="134"/>
      <c r="Z44" s="230"/>
    </row>
    <row r="45" spans="1:26" customFormat="1" ht="15" customHeight="1" x14ac:dyDescent="0.25">
      <c r="A45" s="1130" t="s">
        <v>632</v>
      </c>
      <c r="B45" s="1130"/>
      <c r="C45" s="1130"/>
      <c r="D45" s="1130"/>
      <c r="E45" s="1130"/>
      <c r="F45" s="1130"/>
      <c r="G45" s="1130"/>
      <c r="H45" s="1130"/>
      <c r="I45" s="1130"/>
      <c r="J45" s="1130"/>
      <c r="K45" s="1130"/>
      <c r="L45" s="1130"/>
      <c r="M45" s="1130"/>
      <c r="N45" s="1130"/>
      <c r="O45" s="1130"/>
      <c r="P45" s="1130"/>
      <c r="Q45" s="1130"/>
      <c r="R45" s="1130"/>
      <c r="S45" s="1130"/>
      <c r="T45" s="1130"/>
      <c r="U45" s="1130"/>
      <c r="Z45" s="230"/>
    </row>
    <row r="46" spans="1:26" s="23" customFormat="1" ht="25.15" customHeight="1" x14ac:dyDescent="0.25">
      <c r="A46" s="1124" t="s">
        <v>744</v>
      </c>
      <c r="B46" s="1124"/>
      <c r="C46" s="1124"/>
      <c r="D46" s="1124"/>
      <c r="E46" s="1124"/>
      <c r="F46" s="1124"/>
      <c r="G46" s="1124"/>
      <c r="H46" s="1124"/>
      <c r="I46" s="1124"/>
      <c r="J46" s="1124"/>
      <c r="K46" s="1124"/>
      <c r="L46" s="1124"/>
      <c r="M46" s="1124"/>
      <c r="N46" s="1124"/>
      <c r="O46" s="1124"/>
      <c r="P46" s="1124"/>
      <c r="Q46" s="1124"/>
      <c r="R46" s="1124"/>
      <c r="S46" s="1124"/>
      <c r="T46" s="1124"/>
      <c r="U46" s="1124"/>
      <c r="V46" s="87"/>
      <c r="X46" s="87"/>
      <c r="Z46" s="249"/>
    </row>
  </sheetData>
  <mergeCells count="37">
    <mergeCell ref="A45:U45"/>
    <mergeCell ref="A46:U46"/>
    <mergeCell ref="T2:U4"/>
    <mergeCell ref="L3:N3"/>
    <mergeCell ref="R2:S4"/>
    <mergeCell ref="A20:U20"/>
    <mergeCell ref="M25:N25"/>
    <mergeCell ref="M4:N4"/>
    <mergeCell ref="O24:P25"/>
    <mergeCell ref="C23:C26"/>
    <mergeCell ref="H23:I25"/>
    <mergeCell ref="A22:U22"/>
    <mergeCell ref="A23:A26"/>
    <mergeCell ref="B23:B26"/>
    <mergeCell ref="D23:D26"/>
    <mergeCell ref="E23:E26"/>
    <mergeCell ref="T23:U25"/>
    <mergeCell ref="A1:U1"/>
    <mergeCell ref="A2:A5"/>
    <mergeCell ref="B2:B5"/>
    <mergeCell ref="C2:C5"/>
    <mergeCell ref="D2:D5"/>
    <mergeCell ref="E2:E5"/>
    <mergeCell ref="F2:G4"/>
    <mergeCell ref="J2:K4"/>
    <mergeCell ref="L2:P2"/>
    <mergeCell ref="Q2:Q4"/>
    <mergeCell ref="O3:P4"/>
    <mergeCell ref="L4:L5"/>
    <mergeCell ref="H2:I4"/>
    <mergeCell ref="Q23:Q25"/>
    <mergeCell ref="R23:S25"/>
    <mergeCell ref="L24:N24"/>
    <mergeCell ref="L25:L26"/>
    <mergeCell ref="F23:G25"/>
    <mergeCell ref="J23:K25"/>
    <mergeCell ref="L23:P23"/>
  </mergeCells>
  <phoneticPr fontId="33" type="noConversion"/>
  <pageMargins left="0.70866141732283472" right="0.70866141732283472" top="0.74803149606299213" bottom="0.74803149606299213" header="0.31496062992125984" footer="0.31496062992125984"/>
  <pageSetup paperSize="9" scale="80" fitToHeight="0" orientation="landscape" r:id="rId1"/>
  <rowBreaks count="1" manualBreakCount="1">
    <brk id="20"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C2D82-2C16-43B0-ABFB-1014D8E46BD9}">
  <dimension ref="A1:I19"/>
  <sheetViews>
    <sheetView zoomScaleNormal="100" zoomScaleSheetLayoutView="115" workbookViewId="0">
      <selection activeCell="I9" sqref="I9"/>
    </sheetView>
  </sheetViews>
  <sheetFormatPr defaultRowHeight="15" x14ac:dyDescent="0.25"/>
  <cols>
    <col min="1" max="1" width="11" customWidth="1"/>
    <col min="2" max="2" width="29" customWidth="1"/>
    <col min="3" max="4" width="12.28515625" customWidth="1"/>
    <col min="5" max="6" width="13.42578125" customWidth="1"/>
    <col min="7" max="7" width="10.85546875" customWidth="1"/>
    <col min="8" max="8" width="13.42578125" customWidth="1"/>
    <col min="9" max="9" width="12.28515625" customWidth="1"/>
  </cols>
  <sheetData>
    <row r="1" spans="1:9" x14ac:dyDescent="0.25">
      <c r="A1" s="805" t="s">
        <v>768</v>
      </c>
      <c r="B1" s="805"/>
      <c r="C1" s="805"/>
      <c r="D1" s="805"/>
      <c r="E1" s="805"/>
      <c r="F1" s="805"/>
      <c r="G1" s="805"/>
      <c r="H1" s="805"/>
    </row>
    <row r="2" spans="1:9" x14ac:dyDescent="0.25">
      <c r="A2" s="789" t="s">
        <v>115</v>
      </c>
      <c r="B2" s="777" t="s">
        <v>0</v>
      </c>
      <c r="C2" s="777" t="s">
        <v>616</v>
      </c>
      <c r="D2" s="777"/>
      <c r="E2" s="777"/>
      <c r="F2" s="777"/>
      <c r="G2" s="777"/>
      <c r="H2" s="777"/>
      <c r="I2" s="789" t="s">
        <v>736</v>
      </c>
    </row>
    <row r="3" spans="1:9" ht="33.75" x14ac:dyDescent="0.25">
      <c r="A3" s="790"/>
      <c r="B3" s="777"/>
      <c r="C3" s="161" t="s">
        <v>502</v>
      </c>
      <c r="D3" s="161" t="s">
        <v>508</v>
      </c>
      <c r="E3" s="161" t="s">
        <v>284</v>
      </c>
      <c r="F3" s="161" t="s">
        <v>503</v>
      </c>
      <c r="G3" s="161" t="s">
        <v>509</v>
      </c>
      <c r="H3" s="195" t="s">
        <v>504</v>
      </c>
      <c r="I3" s="790"/>
    </row>
    <row r="4" spans="1:9" x14ac:dyDescent="0.25">
      <c r="A4" s="791"/>
      <c r="B4" s="195"/>
      <c r="C4" s="250" t="s">
        <v>305</v>
      </c>
      <c r="D4" s="250" t="s">
        <v>306</v>
      </c>
      <c r="E4" s="250" t="s">
        <v>307</v>
      </c>
      <c r="F4" s="253" t="s">
        <v>505</v>
      </c>
      <c r="G4" s="253" t="s">
        <v>309</v>
      </c>
      <c r="H4" s="250" t="s">
        <v>506</v>
      </c>
      <c r="I4" s="548" t="s">
        <v>637</v>
      </c>
    </row>
    <row r="5" spans="1:9" ht="22.5" x14ac:dyDescent="0.25">
      <c r="A5" s="91" t="s">
        <v>134</v>
      </c>
      <c r="B5" s="63" t="s">
        <v>10</v>
      </c>
      <c r="C5" s="592">
        <v>6200000</v>
      </c>
      <c r="D5" s="592">
        <v>6200000</v>
      </c>
      <c r="E5" s="256">
        <v>0</v>
      </c>
      <c r="F5" s="500">
        <f t="shared" ref="F5:F11" si="0">E5/C5</f>
        <v>0</v>
      </c>
      <c r="G5" s="592">
        <v>0</v>
      </c>
      <c r="H5" s="534"/>
      <c r="I5" s="592">
        <f t="shared" ref="I5:I15" si="1">+C5-G5</f>
        <v>6200000</v>
      </c>
    </row>
    <row r="6" spans="1:9" ht="33.75" x14ac:dyDescent="0.25">
      <c r="A6" s="91" t="s">
        <v>136</v>
      </c>
      <c r="B6" s="63" t="s">
        <v>12</v>
      </c>
      <c r="C6" s="592">
        <v>5000000</v>
      </c>
      <c r="D6" s="592">
        <v>5000000</v>
      </c>
      <c r="E6" s="256">
        <v>0</v>
      </c>
      <c r="F6" s="500">
        <f t="shared" si="0"/>
        <v>0</v>
      </c>
      <c r="G6" s="592">
        <v>0</v>
      </c>
      <c r="H6" s="498">
        <f t="shared" ref="H6:H11" si="2">G6/C6</f>
        <v>0</v>
      </c>
      <c r="I6" s="592">
        <f t="shared" si="1"/>
        <v>5000000</v>
      </c>
    </row>
    <row r="7" spans="1:9" x14ac:dyDescent="0.25">
      <c r="A7" s="91" t="s">
        <v>138</v>
      </c>
      <c r="B7" s="63" t="s">
        <v>16</v>
      </c>
      <c r="C7" s="590">
        <v>1200000</v>
      </c>
      <c r="D7" s="590">
        <v>1200000</v>
      </c>
      <c r="E7" s="256">
        <v>0</v>
      </c>
      <c r="F7" s="500">
        <f t="shared" si="0"/>
        <v>0</v>
      </c>
      <c r="G7" s="590">
        <v>0</v>
      </c>
      <c r="H7" s="498">
        <f t="shared" si="2"/>
        <v>0</v>
      </c>
      <c r="I7" s="590">
        <f t="shared" si="1"/>
        <v>1200000</v>
      </c>
    </row>
    <row r="8" spans="1:9" ht="22.5" x14ac:dyDescent="0.25">
      <c r="A8" s="91" t="s">
        <v>139</v>
      </c>
      <c r="B8" s="63" t="s">
        <v>18</v>
      </c>
      <c r="C8" s="593">
        <v>11300000</v>
      </c>
      <c r="D8" s="593">
        <v>11300000</v>
      </c>
      <c r="E8" s="256">
        <v>0</v>
      </c>
      <c r="F8" s="500">
        <f t="shared" si="0"/>
        <v>0</v>
      </c>
      <c r="G8" s="593">
        <v>0</v>
      </c>
      <c r="H8" s="498">
        <f t="shared" si="2"/>
        <v>0</v>
      </c>
      <c r="I8" s="593">
        <f t="shared" si="1"/>
        <v>11300000</v>
      </c>
    </row>
    <row r="9" spans="1:9" ht="22.5" x14ac:dyDescent="0.25">
      <c r="A9" s="91" t="s">
        <v>40</v>
      </c>
      <c r="B9" s="63" t="s">
        <v>528</v>
      </c>
      <c r="C9" s="592">
        <v>10000000</v>
      </c>
      <c r="D9" s="592">
        <v>10000000</v>
      </c>
      <c r="E9" s="256">
        <v>10000000</v>
      </c>
      <c r="F9" s="500">
        <f t="shared" si="0"/>
        <v>1</v>
      </c>
      <c r="G9" s="592">
        <v>7501199.04</v>
      </c>
      <c r="H9" s="498">
        <f t="shared" si="2"/>
        <v>0.75011990399999995</v>
      </c>
      <c r="I9" s="592">
        <f t="shared" si="1"/>
        <v>2498800.96</v>
      </c>
    </row>
    <row r="10" spans="1:9" x14ac:dyDescent="0.25">
      <c r="A10" s="90" t="s">
        <v>65</v>
      </c>
      <c r="B10" s="65" t="s">
        <v>66</v>
      </c>
      <c r="C10" s="590">
        <v>125817</v>
      </c>
      <c r="D10" s="590">
        <v>125817</v>
      </c>
      <c r="E10" s="256">
        <v>0</v>
      </c>
      <c r="F10" s="500">
        <f t="shared" si="0"/>
        <v>0</v>
      </c>
      <c r="G10" s="590">
        <v>0</v>
      </c>
      <c r="H10" s="498">
        <f t="shared" si="2"/>
        <v>0</v>
      </c>
      <c r="I10" s="590">
        <f t="shared" si="1"/>
        <v>125817</v>
      </c>
    </row>
    <row r="11" spans="1:9" ht="22.5" x14ac:dyDescent="0.25">
      <c r="A11" s="786" t="s">
        <v>67</v>
      </c>
      <c r="B11" s="65" t="s">
        <v>152</v>
      </c>
      <c r="C11" s="855">
        <v>11604813</v>
      </c>
      <c r="D11" s="855">
        <v>11604813</v>
      </c>
      <c r="E11" s="767">
        <v>0</v>
      </c>
      <c r="F11" s="857">
        <f t="shared" si="0"/>
        <v>0</v>
      </c>
      <c r="G11" s="855">
        <v>0</v>
      </c>
      <c r="H11" s="857">
        <f t="shared" si="2"/>
        <v>0</v>
      </c>
      <c r="I11" s="855">
        <f t="shared" si="1"/>
        <v>11604813</v>
      </c>
    </row>
    <row r="12" spans="1:9" x14ac:dyDescent="0.25">
      <c r="A12" s="787"/>
      <c r="B12" s="65" t="s">
        <v>153</v>
      </c>
      <c r="C12" s="856"/>
      <c r="D12" s="856"/>
      <c r="E12" s="768"/>
      <c r="F12" s="858"/>
      <c r="G12" s="856"/>
      <c r="H12" s="858"/>
      <c r="I12" s="856">
        <f t="shared" si="1"/>
        <v>0</v>
      </c>
    </row>
    <row r="13" spans="1:9" ht="33.75" x14ac:dyDescent="0.25">
      <c r="A13" s="90" t="s">
        <v>414</v>
      </c>
      <c r="B13" s="65" t="s">
        <v>70</v>
      </c>
      <c r="C13" s="590">
        <v>899325</v>
      </c>
      <c r="D13" s="590">
        <v>899325</v>
      </c>
      <c r="E13" s="256">
        <v>0</v>
      </c>
      <c r="F13" s="500">
        <f>E13/C13</f>
        <v>0</v>
      </c>
      <c r="G13" s="590">
        <v>0</v>
      </c>
      <c r="H13" s="498">
        <f>G13/C13</f>
        <v>0</v>
      </c>
      <c r="I13" s="590">
        <f t="shared" si="1"/>
        <v>899325</v>
      </c>
    </row>
    <row r="14" spans="1:9" ht="22.5" x14ac:dyDescent="0.25">
      <c r="A14" s="90" t="s">
        <v>415</v>
      </c>
      <c r="B14" s="65" t="s">
        <v>72</v>
      </c>
      <c r="C14" s="590">
        <v>5070045</v>
      </c>
      <c r="D14" s="590">
        <v>5070045</v>
      </c>
      <c r="E14" s="256">
        <v>0</v>
      </c>
      <c r="F14" s="500">
        <f>E14/C14</f>
        <v>0</v>
      </c>
      <c r="G14" s="590">
        <v>0</v>
      </c>
      <c r="H14" s="498">
        <f>G14/C14</f>
        <v>0</v>
      </c>
      <c r="I14" s="590">
        <f t="shared" si="1"/>
        <v>5070045</v>
      </c>
    </row>
    <row r="15" spans="1:9" ht="45" x14ac:dyDescent="0.25">
      <c r="A15" s="66" t="s">
        <v>315</v>
      </c>
      <c r="B15" s="67" t="s">
        <v>384</v>
      </c>
      <c r="C15" s="590">
        <v>2000000</v>
      </c>
      <c r="D15" s="590">
        <v>2000000</v>
      </c>
      <c r="E15" s="256">
        <v>956000</v>
      </c>
      <c r="F15" s="500">
        <f>E15/C15</f>
        <v>0.47799999999999998</v>
      </c>
      <c r="G15" s="590">
        <v>891000</v>
      </c>
      <c r="H15" s="498">
        <f>G15/C15</f>
        <v>0.44550000000000001</v>
      </c>
      <c r="I15" s="590">
        <f t="shared" si="1"/>
        <v>1109000</v>
      </c>
    </row>
    <row r="16" spans="1:9" x14ac:dyDescent="0.25">
      <c r="A16" s="149" t="s">
        <v>128</v>
      </c>
      <c r="B16" s="150"/>
      <c r="C16" s="52">
        <f>SUM(C5:C15)</f>
        <v>53400000</v>
      </c>
      <c r="D16" s="52">
        <f>SUM(D5:D15)</f>
        <v>53400000</v>
      </c>
      <c r="E16" s="52">
        <f>SUM(E5:E15)</f>
        <v>10956000</v>
      </c>
      <c r="F16" s="54">
        <f>E16/C16</f>
        <v>0.2051685393258427</v>
      </c>
      <c r="G16" s="52">
        <f>SUM(G5:G15)</f>
        <v>8392199.0399999991</v>
      </c>
      <c r="H16" s="54">
        <f>G16/C16</f>
        <v>0.15715728539325841</v>
      </c>
      <c r="I16" s="52">
        <f>SUM(I5:I15)</f>
        <v>45007800.960000001</v>
      </c>
    </row>
    <row r="17" spans="1:9" ht="28.5" customHeight="1" x14ac:dyDescent="0.25">
      <c r="A17" s="807" t="s">
        <v>599</v>
      </c>
      <c r="B17" s="807"/>
      <c r="C17" s="807"/>
      <c r="D17" s="807"/>
      <c r="E17" s="807"/>
      <c r="F17" s="807"/>
      <c r="G17" s="807"/>
      <c r="H17" s="807"/>
      <c r="I17" s="807"/>
    </row>
    <row r="18" spans="1:9" ht="28.5" customHeight="1" x14ac:dyDescent="0.25">
      <c r="A18" s="808" t="s">
        <v>747</v>
      </c>
      <c r="B18" s="808"/>
      <c r="C18" s="808"/>
      <c r="D18" s="808"/>
      <c r="E18" s="808"/>
      <c r="F18" s="808"/>
      <c r="G18" s="808"/>
      <c r="H18" s="808"/>
      <c r="I18" s="808"/>
    </row>
    <row r="19" spans="1:9" ht="28.5" customHeight="1" x14ac:dyDescent="0.25">
      <c r="A19" s="781" t="s">
        <v>743</v>
      </c>
      <c r="B19" s="781"/>
      <c r="C19" s="781"/>
      <c r="D19" s="781"/>
      <c r="E19" s="781"/>
      <c r="F19" s="781"/>
      <c r="G19" s="781"/>
      <c r="H19" s="781"/>
      <c r="I19" s="781"/>
    </row>
  </sheetData>
  <mergeCells count="16">
    <mergeCell ref="A17:I17"/>
    <mergeCell ref="A18:I18"/>
    <mergeCell ref="A19:I19"/>
    <mergeCell ref="I2:I3"/>
    <mergeCell ref="I11:I12"/>
    <mergeCell ref="H11:H12"/>
    <mergeCell ref="A1:H1"/>
    <mergeCell ref="A2:A4"/>
    <mergeCell ref="B2:B3"/>
    <mergeCell ref="C2:H2"/>
    <mergeCell ref="A11:A12"/>
    <mergeCell ref="C11:C12"/>
    <mergeCell ref="D11:D12"/>
    <mergeCell ref="E11:E12"/>
    <mergeCell ref="F11:F12"/>
    <mergeCell ref="G11:G12"/>
  </mergeCells>
  <pageMargins left="0.7" right="0.7" top="0.75" bottom="0.75" header="0.3" footer="0.3"/>
  <pageSetup paperSize="9" scale="9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S64"/>
  <sheetViews>
    <sheetView view="pageBreakPreview" zoomScaleNormal="100" zoomScaleSheetLayoutView="100" workbookViewId="0">
      <pane ySplit="3" topLeftCell="A49" activePane="bottomLeft" state="frozen"/>
      <selection activeCell="A27" sqref="A27:AA27"/>
      <selection pane="bottomLeft" activeCell="D8" sqref="D8"/>
    </sheetView>
  </sheetViews>
  <sheetFormatPr defaultColWidth="9.140625" defaultRowHeight="15" x14ac:dyDescent="0.25"/>
  <cols>
    <col min="1" max="1" width="13.140625" customWidth="1"/>
    <col min="2" max="2" width="34" style="86" customWidth="1"/>
    <col min="3" max="3" width="13.7109375" style="7" customWidth="1"/>
    <col min="4" max="4" width="17.140625" style="7" customWidth="1"/>
    <col min="5" max="5" width="15.28515625" style="8" customWidth="1"/>
    <col min="6" max="6" width="13.42578125" style="8" customWidth="1"/>
    <col min="7" max="7" width="14.28515625" style="8" bestFit="1" customWidth="1"/>
    <col min="8" max="8" width="9.140625" style="23"/>
    <col min="9" max="9" width="9.85546875" style="23" bestFit="1" customWidth="1"/>
    <col min="10" max="11" width="14.85546875" style="23" bestFit="1" customWidth="1"/>
    <col min="12" max="279" width="9.140625" style="23"/>
  </cols>
  <sheetData>
    <row r="1" spans="1:11" ht="33.75" customHeight="1" x14ac:dyDescent="0.25">
      <c r="A1" s="865" t="s">
        <v>769</v>
      </c>
      <c r="B1" s="865"/>
      <c r="C1" s="865"/>
      <c r="D1" s="865"/>
      <c r="E1" s="865"/>
      <c r="F1" s="865"/>
      <c r="G1" s="865"/>
    </row>
    <row r="2" spans="1:11" ht="15.75" customHeight="1" x14ac:dyDescent="0.25">
      <c r="A2" s="777" t="s">
        <v>115</v>
      </c>
      <c r="B2" s="777" t="s">
        <v>0</v>
      </c>
      <c r="C2" s="838" t="s">
        <v>518</v>
      </c>
      <c r="D2" s="838" t="s">
        <v>495</v>
      </c>
      <c r="E2" s="777" t="s">
        <v>284</v>
      </c>
      <c r="F2" s="777" t="s">
        <v>254</v>
      </c>
      <c r="G2" s="789" t="s">
        <v>625</v>
      </c>
    </row>
    <row r="3" spans="1:11" ht="37.5" customHeight="1" x14ac:dyDescent="0.25">
      <c r="A3" s="777"/>
      <c r="B3" s="777"/>
      <c r="C3" s="838"/>
      <c r="D3" s="838"/>
      <c r="E3" s="777"/>
      <c r="F3" s="777"/>
      <c r="G3" s="791"/>
    </row>
    <row r="4" spans="1:11" ht="22.5" x14ac:dyDescent="0.25">
      <c r="A4" s="91" t="s">
        <v>130</v>
      </c>
      <c r="B4" s="101" t="s">
        <v>3</v>
      </c>
      <c r="C4" s="96">
        <f>'Avanzamento_ SP_totale'!C6-'Avanzamento_ SP_totale'!K6</f>
        <v>2100155.0099999998</v>
      </c>
      <c r="D4" s="108">
        <v>2100155.0099999998</v>
      </c>
      <c r="E4" s="68">
        <f>' M01-M02'!M7</f>
        <v>1777526.3800000001</v>
      </c>
      <c r="F4" s="193">
        <f>E4/D4</f>
        <v>0.84637865849721272</v>
      </c>
      <c r="G4" s="272">
        <f>C4-E4</f>
        <v>322628.62999999966</v>
      </c>
    </row>
    <row r="5" spans="1:11" ht="22.5" x14ac:dyDescent="0.25">
      <c r="A5" s="91" t="s">
        <v>131</v>
      </c>
      <c r="B5" s="101" t="s">
        <v>5</v>
      </c>
      <c r="C5" s="96">
        <f>'Avanzamento_ SP_totale'!C7-'Avanzamento_ SP_totale'!K7</f>
        <v>2612772.6219047611</v>
      </c>
      <c r="D5" s="96">
        <v>3458258.34</v>
      </c>
      <c r="E5" s="68">
        <f>' M01-M02'!M16</f>
        <v>2404623.25</v>
      </c>
      <c r="F5" s="193">
        <f>E5/D5</f>
        <v>0.6953278250461763</v>
      </c>
      <c r="G5" s="272">
        <f>C5-E5</f>
        <v>208149.37190476106</v>
      </c>
      <c r="H5" s="271"/>
    </row>
    <row r="6" spans="1:11" ht="22.5" x14ac:dyDescent="0.25">
      <c r="A6" s="91" t="s">
        <v>132</v>
      </c>
      <c r="B6" s="101" t="s">
        <v>7</v>
      </c>
      <c r="C6" s="96">
        <f>'Avanzamento_ SP_totale'!C8-'Avanzamento_ SP_totale'!K8</f>
        <v>1352173.07</v>
      </c>
      <c r="D6" s="96">
        <v>1349851.24</v>
      </c>
      <c r="E6" s="194">
        <f>'M03'!M14</f>
        <v>1789836.42</v>
      </c>
      <c r="F6" s="193">
        <f>E6/D6</f>
        <v>1.3259508655190775</v>
      </c>
      <c r="G6" s="272">
        <f>C6-E6</f>
        <v>-437663.34999999986</v>
      </c>
    </row>
    <row r="7" spans="1:11" ht="33.75" x14ac:dyDescent="0.25">
      <c r="A7" s="91" t="s">
        <v>133</v>
      </c>
      <c r="B7" s="101" t="s">
        <v>8</v>
      </c>
      <c r="C7" s="96">
        <f>'Avanzamento_ SP_totale'!C9-'Avanzamento_ SP_totale'!K9</f>
        <v>1427213.3100000003</v>
      </c>
      <c r="D7" s="108">
        <v>1341673.3900000001</v>
      </c>
      <c r="E7" s="194">
        <f>'M03'!M25</f>
        <v>1593673.3900000001</v>
      </c>
      <c r="F7" s="193">
        <f>E7/D7</f>
        <v>1.1878251457308846</v>
      </c>
      <c r="G7" s="272">
        <f>C7-E7</f>
        <v>-166460.07999999984</v>
      </c>
    </row>
    <row r="8" spans="1:11" ht="22.5" x14ac:dyDescent="0.25">
      <c r="A8" s="91" t="s">
        <v>134</v>
      </c>
      <c r="B8" s="101" t="s">
        <v>10</v>
      </c>
      <c r="C8" s="96">
        <f>'Avanzamento_ SP_totale'!C10+'Avanzamento_ SP_totale'!G10-'Avanzamento_ SP_totale'!K10</f>
        <v>189995279.63</v>
      </c>
      <c r="D8" s="96">
        <f>'Avanzamento_ SP_totale'!J10-'Avanzamento_ SP_totale'!K10+'Avanzamento_ SP_totale'!G10</f>
        <v>189995279.63</v>
      </c>
      <c r="E8" s="109">
        <f>'M04'!M12</f>
        <v>221837601</v>
      </c>
      <c r="F8" s="193">
        <f>E8/D8</f>
        <v>1.1675953288524341</v>
      </c>
      <c r="G8" s="272">
        <f>C8-E8</f>
        <v>-31842321.370000005</v>
      </c>
      <c r="I8" s="196"/>
      <c r="J8" s="196"/>
      <c r="K8" s="196"/>
    </row>
    <row r="9" spans="1:11" ht="33.75" x14ac:dyDescent="0.25">
      <c r="A9" s="91" t="s">
        <v>135</v>
      </c>
      <c r="B9" s="101" t="s">
        <v>11</v>
      </c>
      <c r="C9" s="96">
        <f>'Avanzamento_ SP_totale'!C11-'Avanzamento_ SP_totale'!K11</f>
        <v>42684703.640000001</v>
      </c>
      <c r="D9" s="108">
        <v>50474703.640000001</v>
      </c>
      <c r="E9" s="109">
        <f>'M04'!M23</f>
        <v>53094091.219999999</v>
      </c>
      <c r="F9" s="193">
        <f t="shared" ref="F9:F14" si="0">E9/D9</f>
        <v>1.0518950561588676</v>
      </c>
      <c r="G9" s="272">
        <f>C9-D9</f>
        <v>-7790000</v>
      </c>
      <c r="I9" s="196"/>
      <c r="J9" s="196"/>
    </row>
    <row r="10" spans="1:11" s="23" customFormat="1" ht="33.75" x14ac:dyDescent="0.25">
      <c r="A10" s="787" t="s">
        <v>136</v>
      </c>
      <c r="B10" s="112" t="s">
        <v>12</v>
      </c>
      <c r="C10" s="96">
        <f>'Avanzamento_ SP_totale'!C12-'Avanzamento_ SP_totale'!K12</f>
        <v>34400641.199999996</v>
      </c>
      <c r="D10" s="247">
        <v>46064066.75</v>
      </c>
      <c r="E10" s="109">
        <f>'M04'!M31</f>
        <v>43305302.64000003</v>
      </c>
      <c r="F10" s="64">
        <f t="shared" si="0"/>
        <v>0.94011027890845156</v>
      </c>
      <c r="G10" s="272">
        <f>C10-D10</f>
        <v>-11663425.550000004</v>
      </c>
      <c r="J10" s="196"/>
    </row>
    <row r="11" spans="1:11" ht="22.5" x14ac:dyDescent="0.25">
      <c r="A11" s="787"/>
      <c r="B11" s="101" t="s">
        <v>13</v>
      </c>
      <c r="C11" s="96">
        <f>'Avanzamento_ SP_totale'!C13-'Avanzamento_ SP_totale'!K13</f>
        <v>8055613.04</v>
      </c>
      <c r="D11" s="247">
        <v>14785113.039999999</v>
      </c>
      <c r="E11" s="194">
        <f>'M04'!M32+'M04'!M33</f>
        <v>9968865.1000000015</v>
      </c>
      <c r="F11" s="64">
        <f t="shared" si="0"/>
        <v>0.67425017806965659</v>
      </c>
      <c r="G11" s="272">
        <f>C11-D11</f>
        <v>-6729499.9999999991</v>
      </c>
    </row>
    <row r="12" spans="1:11" x14ac:dyDescent="0.25">
      <c r="A12" s="91" t="s">
        <v>137</v>
      </c>
      <c r="B12" s="101" t="s">
        <v>15</v>
      </c>
      <c r="C12" s="96">
        <f>'Avanzamento_ SP_totale'!C14-'Avanzamento_ SP_totale'!K14</f>
        <v>1864500.0000000002</v>
      </c>
      <c r="D12" s="114">
        <v>2290516.7399999998</v>
      </c>
      <c r="E12" s="109">
        <f>'M05'!M8</f>
        <v>1456381.83</v>
      </c>
      <c r="F12" s="193">
        <f t="shared" si="0"/>
        <v>0.63583112254398988</v>
      </c>
      <c r="G12" s="272">
        <f>C12-E12</f>
        <v>408118.17000000016</v>
      </c>
    </row>
    <row r="13" spans="1:11" x14ac:dyDescent="0.25">
      <c r="A13" s="91" t="s">
        <v>138</v>
      </c>
      <c r="B13" s="101" t="s">
        <v>16</v>
      </c>
      <c r="C13" s="96">
        <f>'Avanzamento_ SP_totale'!C15-'Avanzamento_ SP_totale'!K15</f>
        <v>4586086.5199999902</v>
      </c>
      <c r="D13" s="114">
        <v>5127491.9199999925</v>
      </c>
      <c r="E13" s="109">
        <f>'M05'!M19</f>
        <v>6780650.5800000001</v>
      </c>
      <c r="F13" s="193">
        <f t="shared" si="0"/>
        <v>1.3224107781724228</v>
      </c>
      <c r="G13" s="272">
        <f>C13-E13</f>
        <v>-2194564.0600000098</v>
      </c>
    </row>
    <row r="14" spans="1:11" ht="22.5" x14ac:dyDescent="0.25">
      <c r="A14" s="91" t="s">
        <v>139</v>
      </c>
      <c r="B14" s="101" t="s">
        <v>18</v>
      </c>
      <c r="C14" s="96">
        <f>'Avanzamento_ SP_totale'!C16+'Avanzamento_ SP_totale'!G16-'Avanzamento_ SP_totale'!K16</f>
        <v>91646200</v>
      </c>
      <c r="D14" s="108">
        <f>'Avanzamento_ SP_totale'!E16+'Avanzamento_ SP_totale'!G16</f>
        <v>28121179.191468254</v>
      </c>
      <c r="E14" s="109">
        <f>'M06'!M9</f>
        <v>98975000</v>
      </c>
      <c r="F14" s="193">
        <f t="shared" si="0"/>
        <v>3.5195892507248856</v>
      </c>
      <c r="G14" s="272">
        <f>C14-E14</f>
        <v>-7328800</v>
      </c>
    </row>
    <row r="15" spans="1:11" ht="33.75" x14ac:dyDescent="0.25">
      <c r="A15" s="91" t="s">
        <v>140</v>
      </c>
      <c r="B15" s="101" t="s">
        <v>19</v>
      </c>
      <c r="C15" s="96">
        <f>'Avanzamento_ SP_totale'!C17-'Avanzamento_ SP_totale'!K17</f>
        <v>5999400.0000000009</v>
      </c>
      <c r="D15" s="108">
        <v>6500000</v>
      </c>
      <c r="E15" s="109">
        <f>'M06'!M18</f>
        <v>6350000</v>
      </c>
      <c r="F15" s="193">
        <f t="shared" ref="F15:F20" si="1">E15/D15</f>
        <v>0.97692307692307689</v>
      </c>
      <c r="G15" s="272">
        <f>C15-D15</f>
        <v>-500599.99999999907</v>
      </c>
    </row>
    <row r="16" spans="1:11" ht="33.75" x14ac:dyDescent="0.25">
      <c r="A16" s="787" t="s">
        <v>141</v>
      </c>
      <c r="B16" s="101" t="s">
        <v>20</v>
      </c>
      <c r="C16" s="96">
        <f>'Avanzamento_ SP_totale'!C18-'Avanzamento_ SP_totale'!K18</f>
        <v>4780287.91</v>
      </c>
      <c r="D16" s="108">
        <v>8000000</v>
      </c>
      <c r="E16" s="109">
        <f>'M06'!M26+'M06'!M27</f>
        <v>7054235.9299999997</v>
      </c>
      <c r="F16" s="193">
        <f t="shared" si="1"/>
        <v>0.88177949124999999</v>
      </c>
      <c r="G16" s="272">
        <f>C16-D16</f>
        <v>-3219712.09</v>
      </c>
    </row>
    <row r="17" spans="1:279" ht="22.5" x14ac:dyDescent="0.25">
      <c r="A17" s="787"/>
      <c r="B17" s="101" t="s">
        <v>21</v>
      </c>
      <c r="C17" s="96">
        <f>'Avanzamento_ SP_totale'!C19-'Avanzamento_ SP_totale'!K19</f>
        <v>5171900.0000000009</v>
      </c>
      <c r="D17" s="108">
        <v>6000000</v>
      </c>
      <c r="E17" s="109">
        <f>'M06'!M28</f>
        <v>5226126.13</v>
      </c>
      <c r="F17" s="193">
        <f t="shared" si="1"/>
        <v>0.87102102166666662</v>
      </c>
      <c r="G17" s="272">
        <f>C17-D17</f>
        <v>-828099.99999999907</v>
      </c>
    </row>
    <row r="18" spans="1:279" ht="33.75" x14ac:dyDescent="0.25">
      <c r="A18" s="91" t="s">
        <v>142</v>
      </c>
      <c r="B18" s="102" t="s">
        <v>23</v>
      </c>
      <c r="C18" s="96">
        <f>'Avanzamento_ SP_totale'!C20-'Avanzamento_ SP_totale'!K20</f>
        <v>221982.82285714286</v>
      </c>
      <c r="D18" s="96">
        <v>179283</v>
      </c>
      <c r="E18" s="194">
        <f>'M07'!M7</f>
        <v>179282.68</v>
      </c>
      <c r="F18" s="193">
        <f t="shared" si="1"/>
        <v>0.99999821511242004</v>
      </c>
      <c r="G18" s="272">
        <f t="shared" ref="G18:G56" si="2">C18-D18</f>
        <v>42699.822857142863</v>
      </c>
    </row>
    <row r="19" spans="1:279" ht="33.75" x14ac:dyDescent="0.25">
      <c r="A19" s="91" t="s">
        <v>143</v>
      </c>
      <c r="B19" s="102" t="s">
        <v>24</v>
      </c>
      <c r="C19" s="96">
        <f>'Avanzamento_ SP_totale'!C21-'Avanzamento_ SP_totale'!K21</f>
        <v>1125000</v>
      </c>
      <c r="D19" s="108">
        <v>4125000</v>
      </c>
      <c r="E19" s="194">
        <f>'M07'!M16</f>
        <v>2595532.08</v>
      </c>
      <c r="F19" s="193">
        <f>E19/D19</f>
        <v>0.62921989818181823</v>
      </c>
      <c r="G19" s="272">
        <f t="shared" ref="G19:G25" si="3">C19-D19</f>
        <v>-3000000</v>
      </c>
    </row>
    <row r="20" spans="1:279" s="23" customFormat="1" x14ac:dyDescent="0.25">
      <c r="A20" s="110" t="s">
        <v>144</v>
      </c>
      <c r="B20" s="112" t="s">
        <v>25</v>
      </c>
      <c r="C20" s="96">
        <f>'Avanzamento_ SP_totale'!C22-'Avanzamento_ SP_totale'!K22</f>
        <v>18395765.889999986</v>
      </c>
      <c r="D20" s="109">
        <v>16218739</v>
      </c>
      <c r="E20" s="109">
        <f>'M07'!M26</f>
        <v>16218739</v>
      </c>
      <c r="F20" s="64">
        <f t="shared" si="1"/>
        <v>1</v>
      </c>
      <c r="G20" s="272">
        <f t="shared" si="3"/>
        <v>2177026.8899999857</v>
      </c>
    </row>
    <row r="21" spans="1:279" ht="22.5" x14ac:dyDescent="0.25">
      <c r="A21" s="91" t="s">
        <v>145</v>
      </c>
      <c r="B21" s="102" t="s">
        <v>26</v>
      </c>
      <c r="C21" s="99">
        <f>'Avanzamento_ SP_totale'!C23-'Avanzamento_ SP_totale'!K23</f>
        <v>0.24999999953433871</v>
      </c>
      <c r="D21" s="108"/>
      <c r="E21" s="194">
        <v>0</v>
      </c>
      <c r="F21" s="193">
        <v>0</v>
      </c>
      <c r="G21" s="272">
        <f t="shared" si="3"/>
        <v>0.24999999953433871</v>
      </c>
    </row>
    <row r="22" spans="1:279" x14ac:dyDescent="0.25">
      <c r="A22" s="91" t="s">
        <v>146</v>
      </c>
      <c r="B22" s="102" t="s">
        <v>27</v>
      </c>
      <c r="C22" s="99">
        <f>'Avanzamento_ SP_totale'!C24-'Avanzamento_ SP_totale'!K24</f>
        <v>272355.83999999962</v>
      </c>
      <c r="D22" s="108">
        <v>736791</v>
      </c>
      <c r="E22" s="194">
        <f>'M07'!M43</f>
        <v>564394.23999999999</v>
      </c>
      <c r="F22" s="193">
        <f>E22/D22</f>
        <v>0.7660167401610497</v>
      </c>
      <c r="G22" s="272">
        <f t="shared" si="3"/>
        <v>-464435.16000000038</v>
      </c>
    </row>
    <row r="23" spans="1:279" ht="33.75" x14ac:dyDescent="0.25">
      <c r="A23" s="91" t="s">
        <v>147</v>
      </c>
      <c r="B23" s="102" t="s">
        <v>28</v>
      </c>
      <c r="C23" s="96">
        <f>'Avanzamento_ SP_totale'!C25-'Avanzamento_ SP_totale'!K25</f>
        <v>1000000</v>
      </c>
      <c r="D23" s="108">
        <v>1863979</v>
      </c>
      <c r="E23" s="194">
        <f>'M07'!M52</f>
        <v>1108557.9300000002</v>
      </c>
      <c r="F23" s="193">
        <f>E23/D23</f>
        <v>0.59472661977414987</v>
      </c>
      <c r="G23" s="272">
        <f t="shared" si="3"/>
        <v>-863979</v>
      </c>
    </row>
    <row r="24" spans="1:279" ht="33.75" x14ac:dyDescent="0.25">
      <c r="A24" s="110" t="s">
        <v>116</v>
      </c>
      <c r="B24" s="111" t="s">
        <v>30</v>
      </c>
      <c r="C24" s="96">
        <v>0</v>
      </c>
      <c r="D24" s="611">
        <v>0</v>
      </c>
      <c r="E24" s="748">
        <v>0</v>
      </c>
      <c r="F24" s="558">
        <v>0</v>
      </c>
      <c r="G24" s="749">
        <v>0</v>
      </c>
    </row>
    <row r="25" spans="1:279" ht="33.75" x14ac:dyDescent="0.25">
      <c r="A25" s="91" t="s">
        <v>148</v>
      </c>
      <c r="B25" s="102" t="s">
        <v>31</v>
      </c>
      <c r="C25" s="96">
        <f>'Avanzamento_ SP_totale'!C27-'Avanzamento_ SP_totale'!K27</f>
        <v>5722804</v>
      </c>
      <c r="D25" s="108">
        <v>10357998</v>
      </c>
      <c r="E25" s="68">
        <f>'M8.3-8.6'!M7</f>
        <v>7675062.54</v>
      </c>
      <c r="F25" s="193">
        <f>E25/D25</f>
        <v>0.74097934176083058</v>
      </c>
      <c r="G25" s="272">
        <f t="shared" si="3"/>
        <v>-4635194</v>
      </c>
    </row>
    <row r="26" spans="1:279" ht="33.75" x14ac:dyDescent="0.25">
      <c r="A26" s="91" t="s">
        <v>149</v>
      </c>
      <c r="B26" s="102" t="s">
        <v>32</v>
      </c>
      <c r="C26" s="96">
        <f>'Avanzamento_ SP_totale'!C28-'Avanzamento_ SP_totale'!K28</f>
        <v>2794876.2399999998</v>
      </c>
      <c r="D26" s="108">
        <v>3457893.8800000004</v>
      </c>
      <c r="E26" s="68">
        <f>'M8.3-8.6'!M16</f>
        <v>3457568.68</v>
      </c>
      <c r="F26" s="193">
        <f>E26/D26</f>
        <v>0.99990595431459561</v>
      </c>
      <c r="G26" s="272">
        <f t="shared" si="2"/>
        <v>-663017.6400000006</v>
      </c>
    </row>
    <row r="27" spans="1:279" ht="22.5" x14ac:dyDescent="0.25">
      <c r="A27" s="91" t="s">
        <v>150</v>
      </c>
      <c r="B27" s="102" t="s">
        <v>34</v>
      </c>
      <c r="C27" s="96">
        <f>'Avanzamento_ SP_totale'!E29-'Avanzamento_ SP_totale'!K29</f>
        <v>0</v>
      </c>
      <c r="D27" s="97">
        <v>305000</v>
      </c>
      <c r="E27" s="194">
        <f>'M09'!M7</f>
        <v>305000</v>
      </c>
      <c r="F27" s="193">
        <f>E27/D27</f>
        <v>1</v>
      </c>
      <c r="G27" s="272">
        <f t="shared" si="2"/>
        <v>-305000</v>
      </c>
    </row>
    <row r="28" spans="1:279" x14ac:dyDescent="0.25">
      <c r="A28" s="863" t="s">
        <v>117</v>
      </c>
      <c r="B28" s="536" t="s">
        <v>36</v>
      </c>
      <c r="C28" s="871">
        <v>154242844.92772439</v>
      </c>
      <c r="D28" s="846">
        <v>156399102.27600035</v>
      </c>
      <c r="E28" s="846">
        <v>156399102.27600035</v>
      </c>
      <c r="F28" s="769">
        <f>+E28/D28</f>
        <v>1</v>
      </c>
      <c r="G28" s="869">
        <f>C28-D28</f>
        <v>-2156257.3482759595</v>
      </c>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row>
    <row r="29" spans="1:279" x14ac:dyDescent="0.25">
      <c r="A29" s="863"/>
      <c r="B29" s="536" t="s">
        <v>37</v>
      </c>
      <c r="C29" s="871"/>
      <c r="D29" s="847"/>
      <c r="E29" s="847"/>
      <c r="F29" s="770"/>
      <c r="G29" s="872"/>
      <c r="H29"/>
      <c r="I29"/>
      <c r="J29"/>
      <c r="K29" s="230"/>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row>
    <row r="30" spans="1:279" ht="25.5" customHeight="1" x14ac:dyDescent="0.25">
      <c r="A30" s="863"/>
      <c r="B30" s="536" t="s">
        <v>38</v>
      </c>
      <c r="C30" s="871"/>
      <c r="D30" s="847"/>
      <c r="E30" s="847"/>
      <c r="F30" s="770"/>
      <c r="G30" s="872"/>
      <c r="H30"/>
      <c r="I30"/>
      <c r="J30" s="50"/>
      <c r="K30" s="2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row>
    <row r="31" spans="1:279" ht="33.75" x14ac:dyDescent="0.25">
      <c r="A31" s="863"/>
      <c r="B31" s="536" t="s">
        <v>41</v>
      </c>
      <c r="C31" s="871"/>
      <c r="D31" s="847"/>
      <c r="E31" s="847"/>
      <c r="F31" s="770"/>
      <c r="G31" s="872"/>
      <c r="H31"/>
      <c r="I31"/>
      <c r="J31" s="50"/>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row>
    <row r="32" spans="1:279" ht="22.5" x14ac:dyDescent="0.25">
      <c r="A32" s="863"/>
      <c r="B32" s="536" t="s">
        <v>39</v>
      </c>
      <c r="C32" s="871"/>
      <c r="D32" s="848"/>
      <c r="E32" s="848"/>
      <c r="F32" s="771"/>
      <c r="G32" s="870"/>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row>
    <row r="33" spans="1:279" ht="33.75" x14ac:dyDescent="0.25">
      <c r="A33" s="562" t="s">
        <v>118</v>
      </c>
      <c r="B33" s="536" t="s">
        <v>42</v>
      </c>
      <c r="C33" s="636">
        <v>0</v>
      </c>
      <c r="D33" s="744">
        <v>0</v>
      </c>
      <c r="E33" s="744">
        <v>0</v>
      </c>
      <c r="F33" s="743">
        <v>0</v>
      </c>
      <c r="G33" s="745">
        <f>C33-D33</f>
        <v>0</v>
      </c>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row>
    <row r="34" spans="1:279" s="23" customFormat="1" ht="22.5" x14ac:dyDescent="0.25">
      <c r="A34" s="562" t="s">
        <v>45</v>
      </c>
      <c r="B34" s="536" t="s">
        <v>43</v>
      </c>
      <c r="C34" s="752">
        <v>73237662.900000006</v>
      </c>
      <c r="D34" s="761">
        <v>74547954.128000006</v>
      </c>
      <c r="E34" s="761">
        <v>74547954.128000006</v>
      </c>
      <c r="F34" s="769">
        <f>+E34/D34</f>
        <v>1</v>
      </c>
      <c r="G34" s="859">
        <f>C34-D34</f>
        <v>-1310291.2280000001</v>
      </c>
      <c r="H34" s="200"/>
    </row>
    <row r="35" spans="1:279" s="23" customFormat="1" ht="22.5" x14ac:dyDescent="0.25">
      <c r="A35" s="562" t="s">
        <v>119</v>
      </c>
      <c r="B35" s="536" t="s">
        <v>44</v>
      </c>
      <c r="C35" s="754"/>
      <c r="D35" s="763"/>
      <c r="E35" s="763"/>
      <c r="F35" s="771"/>
      <c r="G35" s="861"/>
    </row>
    <row r="36" spans="1:279" s="23" customFormat="1" ht="22.5" x14ac:dyDescent="0.25">
      <c r="A36" s="562" t="s">
        <v>112</v>
      </c>
      <c r="B36" s="536" t="s">
        <v>120</v>
      </c>
      <c r="C36" s="752">
        <v>373780646.09833318</v>
      </c>
      <c r="D36" s="864">
        <v>390840229.39097428</v>
      </c>
      <c r="E36" s="864">
        <v>349485371.05550015</v>
      </c>
      <c r="F36" s="769">
        <f>E36/D36</f>
        <v>0.89418986269679757</v>
      </c>
      <c r="G36" s="859">
        <f>C36-D36</f>
        <v>-17059583.292641103</v>
      </c>
      <c r="H36" s="200"/>
    </row>
    <row r="37" spans="1:279" s="23" customFormat="1" ht="22.5" x14ac:dyDescent="0.25">
      <c r="A37" s="562" t="s">
        <v>113</v>
      </c>
      <c r="B37" s="536" t="s">
        <v>121</v>
      </c>
      <c r="C37" s="754"/>
      <c r="D37" s="864"/>
      <c r="E37" s="864"/>
      <c r="F37" s="771" t="e">
        <f t="shared" ref="F37:F42" si="4">E37/D37</f>
        <v>#DIV/0!</v>
      </c>
      <c r="G37" s="861"/>
    </row>
    <row r="38" spans="1:279" s="23" customFormat="1" ht="28.9" customHeight="1" x14ac:dyDescent="0.25">
      <c r="A38" s="862" t="s">
        <v>122</v>
      </c>
      <c r="B38" s="536" t="s">
        <v>123</v>
      </c>
      <c r="C38" s="752">
        <v>315118967.98100799</v>
      </c>
      <c r="D38" s="864">
        <v>313416830.69199938</v>
      </c>
      <c r="E38" s="864">
        <v>290416830.69199938</v>
      </c>
      <c r="F38" s="760">
        <f t="shared" si="4"/>
        <v>0.92661530030401418</v>
      </c>
      <c r="G38" s="859">
        <f>C38-D38</f>
        <v>1702137.2890086174</v>
      </c>
    </row>
    <row r="39" spans="1:279" s="23" customFormat="1" ht="28.9" customHeight="1" x14ac:dyDescent="0.25">
      <c r="A39" s="863"/>
      <c r="B39" s="536" t="s">
        <v>124</v>
      </c>
      <c r="C39" s="753"/>
      <c r="D39" s="864"/>
      <c r="E39" s="864"/>
      <c r="F39" s="760" t="e">
        <f t="shared" si="4"/>
        <v>#DIV/0!</v>
      </c>
      <c r="G39" s="860"/>
    </row>
    <row r="40" spans="1:279" s="23" customFormat="1" ht="28.9" customHeight="1" x14ac:dyDescent="0.25">
      <c r="A40" s="863"/>
      <c r="B40" s="536" t="s">
        <v>125</v>
      </c>
      <c r="C40" s="753"/>
      <c r="D40" s="864"/>
      <c r="E40" s="864"/>
      <c r="F40" s="760" t="e">
        <f t="shared" si="4"/>
        <v>#DIV/0!</v>
      </c>
      <c r="G40" s="860"/>
      <c r="H40" s="200"/>
    </row>
    <row r="41" spans="1:279" s="23" customFormat="1" ht="28.9" customHeight="1" x14ac:dyDescent="0.25">
      <c r="A41" s="863"/>
      <c r="B41" s="536" t="s">
        <v>126</v>
      </c>
      <c r="C41" s="753"/>
      <c r="D41" s="864"/>
      <c r="E41" s="864"/>
      <c r="F41" s="760" t="e">
        <f t="shared" si="4"/>
        <v>#DIV/0!</v>
      </c>
      <c r="G41" s="861"/>
    </row>
    <row r="42" spans="1:279" s="23" customFormat="1" ht="22.5" x14ac:dyDescent="0.25">
      <c r="A42" s="562" t="s">
        <v>127</v>
      </c>
      <c r="B42" s="536" t="s">
        <v>52</v>
      </c>
      <c r="C42" s="564">
        <v>4665188.7341666697</v>
      </c>
      <c r="D42" s="563">
        <v>5057508.91</v>
      </c>
      <c r="E42" s="563">
        <v>5057508.91</v>
      </c>
      <c r="F42" s="376">
        <f t="shared" si="4"/>
        <v>1</v>
      </c>
      <c r="G42" s="565">
        <f>C42-D42</f>
        <v>-392320.17583333049</v>
      </c>
    </row>
    <row r="43" spans="1:279" ht="22.5" x14ac:dyDescent="0.25">
      <c r="A43" s="90" t="s">
        <v>53</v>
      </c>
      <c r="B43" s="102" t="s">
        <v>54</v>
      </c>
      <c r="C43" s="96">
        <f>'Avanzamento_ SP_totale'!C45-'Avanzamento_ SP_totale'!K45</f>
        <v>10980000.444444446</v>
      </c>
      <c r="D43" s="108">
        <v>10679999.66</v>
      </c>
      <c r="E43" s="194">
        <f>'M16'!M8</f>
        <v>10291886.17</v>
      </c>
      <c r="F43" s="193">
        <f t="shared" ref="F43:F53" si="5">E43/D43</f>
        <v>0.9636597844236261</v>
      </c>
      <c r="G43" s="272">
        <f>C43-D43</f>
        <v>300000.78444444574</v>
      </c>
    </row>
    <row r="44" spans="1:279" ht="33.75" x14ac:dyDescent="0.25">
      <c r="A44" s="90" t="s">
        <v>55</v>
      </c>
      <c r="B44" s="102" t="s">
        <v>56</v>
      </c>
      <c r="C44" s="96">
        <f>'Avanzamento_ SP_totale'!C46-'Avanzamento_ SP_totale'!K46</f>
        <v>6669999.557</v>
      </c>
      <c r="D44" s="108">
        <v>6670000</v>
      </c>
      <c r="E44" s="109">
        <f>'M16'!M16</f>
        <v>6094538.1799999997</v>
      </c>
      <c r="F44" s="193">
        <f t="shared" si="5"/>
        <v>0.91372386506746617</v>
      </c>
      <c r="G44" s="272">
        <f>C44-D44</f>
        <v>-0.44299999997019768</v>
      </c>
    </row>
    <row r="45" spans="1:279" x14ac:dyDescent="0.25">
      <c r="A45" s="90" t="s">
        <v>151</v>
      </c>
      <c r="B45" s="102" t="s">
        <v>58</v>
      </c>
      <c r="C45" s="96">
        <f>'Avanzamento_ SP_totale'!C47-'Avanzamento_ SP_totale'!K47</f>
        <v>3020000</v>
      </c>
      <c r="D45" s="108">
        <v>3020000</v>
      </c>
      <c r="E45" s="194">
        <f>'M16'!M25</f>
        <v>2206377.7599999998</v>
      </c>
      <c r="F45" s="193">
        <f t="shared" si="5"/>
        <v>0.73058866225165553</v>
      </c>
      <c r="G45" s="272">
        <f>C45-E45</f>
        <v>813622.24000000022</v>
      </c>
    </row>
    <row r="46" spans="1:279" ht="22.5" x14ac:dyDescent="0.25">
      <c r="A46" s="90" t="s">
        <v>59</v>
      </c>
      <c r="B46" s="102" t="s">
        <v>60</v>
      </c>
      <c r="C46" s="96">
        <f>'Avanzamento_ SP_totale'!C48-'Avanzamento_ SP_totale'!K48</f>
        <v>1880000</v>
      </c>
      <c r="D46" s="108">
        <v>1880000</v>
      </c>
      <c r="E46" s="194">
        <f>'M16'!M36</f>
        <v>568352.41</v>
      </c>
      <c r="F46" s="193">
        <f t="shared" si="5"/>
        <v>0.30231511170212766</v>
      </c>
      <c r="G46" s="272">
        <f>C46-D46</f>
        <v>0</v>
      </c>
    </row>
    <row r="47" spans="1:279" ht="22.5" x14ac:dyDescent="0.25">
      <c r="A47" s="90" t="s">
        <v>61</v>
      </c>
      <c r="B47" s="102" t="s">
        <v>62</v>
      </c>
      <c r="C47" s="96">
        <f>'Avanzamento_ SP_totale'!C49-'Avanzamento_ SP_totale'!K49</f>
        <v>334626</v>
      </c>
      <c r="D47" s="108">
        <v>64253</v>
      </c>
      <c r="E47" s="194">
        <f>'M16'!M45</f>
        <v>64253</v>
      </c>
      <c r="F47" s="193">
        <f t="shared" si="5"/>
        <v>1</v>
      </c>
      <c r="G47" s="272">
        <f>C47-D47</f>
        <v>270373</v>
      </c>
    </row>
    <row r="48" spans="1:279" x14ac:dyDescent="0.25">
      <c r="A48" s="90" t="s">
        <v>63</v>
      </c>
      <c r="B48" s="102" t="s">
        <v>64</v>
      </c>
      <c r="C48" s="96">
        <f>'Avanzamento_ SP_totale'!C50-'Avanzamento_ SP_totale'!K50</f>
        <v>415697.91999999998</v>
      </c>
      <c r="D48" s="108">
        <v>474084.33</v>
      </c>
      <c r="E48" s="194">
        <f>'M16'!M53</f>
        <v>477759.64999999997</v>
      </c>
      <c r="F48" s="193">
        <f t="shared" si="5"/>
        <v>1.0077524604114207</v>
      </c>
      <c r="G48" s="272">
        <f>C48-D48</f>
        <v>-58386.410000000033</v>
      </c>
    </row>
    <row r="49" spans="1:279" x14ac:dyDescent="0.25">
      <c r="A49" s="90" t="s">
        <v>65</v>
      </c>
      <c r="B49" s="102" t="s">
        <v>66</v>
      </c>
      <c r="C49" s="96">
        <f>'Avanzamento_ SP_totale'!C51-'Avanzamento_ SP_totale'!K51</f>
        <v>600000</v>
      </c>
      <c r="D49" s="96">
        <v>600000</v>
      </c>
      <c r="E49" s="159">
        <f>'Avanzamento_ SP_FEASR'!F50-'AVANZAMENTO TOP UP'!E10</f>
        <v>725817</v>
      </c>
      <c r="F49" s="193">
        <f>E49/D49</f>
        <v>1.209695</v>
      </c>
      <c r="G49" s="272">
        <f>C49-E49</f>
        <v>-125817</v>
      </c>
    </row>
    <row r="50" spans="1:279" ht="22.5" x14ac:dyDescent="0.25">
      <c r="A50" s="786" t="s">
        <v>67</v>
      </c>
      <c r="B50" s="102" t="s">
        <v>152</v>
      </c>
      <c r="C50" s="866">
        <f>'Avanzamento_ SP_totale'!C52-'Avanzamento_ SP_totale'!K52</f>
        <v>70268788.25</v>
      </c>
      <c r="D50" s="866">
        <v>67713299.090000004</v>
      </c>
      <c r="E50" s="868">
        <f>'M19'!M16</f>
        <v>74414781.039999992</v>
      </c>
      <c r="F50" s="867">
        <f>E50/D50</f>
        <v>1.0989684750272295</v>
      </c>
      <c r="G50" s="869">
        <f>C50-D50</f>
        <v>2555489.1599999964</v>
      </c>
    </row>
    <row r="51" spans="1:279" x14ac:dyDescent="0.25">
      <c r="A51" s="787"/>
      <c r="B51" s="102" t="s">
        <v>153</v>
      </c>
      <c r="C51" s="866">
        <f>'Avanzamento_ SP_totale'!C52-'Avanzamento_ SP_totale'!K52</f>
        <v>70268788.25</v>
      </c>
      <c r="D51" s="866"/>
      <c r="E51" s="868"/>
      <c r="F51" s="867" t="e">
        <f t="shared" si="5"/>
        <v>#DIV/0!</v>
      </c>
      <c r="G51" s="870"/>
    </row>
    <row r="52" spans="1:279" ht="33.75" x14ac:dyDescent="0.25">
      <c r="A52" s="90" t="s">
        <v>69</v>
      </c>
      <c r="B52" s="102" t="s">
        <v>70</v>
      </c>
      <c r="C52" s="96">
        <f>'Avanzamento_ SP_totale'!C54-'Avanzamento_ SP_totale'!K54</f>
        <v>1492271.2</v>
      </c>
      <c r="D52" s="96">
        <v>1992272.2</v>
      </c>
      <c r="E52" s="109">
        <f>'Avanzamento_ SP_totale'!L54-'AVANZAMENTO TOP UP'!E13</f>
        <v>2751894.5</v>
      </c>
      <c r="F52" s="193">
        <f t="shared" si="5"/>
        <v>1.3812843947729634</v>
      </c>
      <c r="G52" s="272">
        <f>C52-E52</f>
        <v>-1259623.3</v>
      </c>
    </row>
    <row r="53" spans="1:279" ht="22.5" x14ac:dyDescent="0.25">
      <c r="A53" s="90" t="s">
        <v>71</v>
      </c>
      <c r="B53" s="102" t="s">
        <v>72</v>
      </c>
      <c r="C53" s="96">
        <f>'Avanzamento_ SP_totale'!C55-'Avanzamento_ SP_totale'!K55</f>
        <v>9254253.5500000007</v>
      </c>
      <c r="D53" s="62">
        <v>11254253.550000001</v>
      </c>
      <c r="E53" s="109">
        <f>'Avanzamento_ SP_totale'!L55-'AVANZAMENTO TOP UP'!E14</f>
        <v>17102053.770000003</v>
      </c>
      <c r="F53" s="193">
        <f t="shared" si="5"/>
        <v>1.519608003677863</v>
      </c>
      <c r="G53" s="272">
        <f>C53-E53</f>
        <v>-7847800.2200000025</v>
      </c>
    </row>
    <row r="54" spans="1:279" ht="22.5" x14ac:dyDescent="0.25">
      <c r="A54" s="66">
        <v>20</v>
      </c>
      <c r="B54" s="103" t="s">
        <v>154</v>
      </c>
      <c r="C54" s="96">
        <f>'Avanzamento_ SP_totale'!C56-'Avanzamento_ SP_totale'!K56</f>
        <v>10373760.156666668</v>
      </c>
      <c r="D54" s="62">
        <v>10373760.16</v>
      </c>
      <c r="E54" s="109">
        <f>'Avanzamento_ SP_totale'!L56-'Avanzamento_ SP_totale'!K56</f>
        <v>8305747.8300000001</v>
      </c>
      <c r="F54" s="193">
        <f>E54/D54</f>
        <v>0.80064968747070009</v>
      </c>
      <c r="G54" s="272">
        <f>C54-D54</f>
        <v>-3.3333320170640945E-3</v>
      </c>
    </row>
    <row r="55" spans="1:279" ht="33.75" x14ac:dyDescent="0.25">
      <c r="A55" s="66" t="s">
        <v>315</v>
      </c>
      <c r="B55" s="67" t="s">
        <v>383</v>
      </c>
      <c r="C55" s="96">
        <f>'Avanzamento_ SP_totale'!C57-'Avanzamento_ SP_totale'!K57</f>
        <v>1998000</v>
      </c>
      <c r="D55" s="108">
        <v>1998000</v>
      </c>
      <c r="E55" s="109">
        <f>'Avanzamento_ SP_totale'!L57-'AVANZAMENTO TOP UP'!E15</f>
        <v>1998000</v>
      </c>
      <c r="F55" s="193">
        <f>E55/D55</f>
        <v>1</v>
      </c>
      <c r="G55" s="272">
        <f>C55-D55</f>
        <v>0</v>
      </c>
    </row>
    <row r="56" spans="1:279" x14ac:dyDescent="0.25">
      <c r="A56" s="785" t="s">
        <v>114</v>
      </c>
      <c r="B56" s="785"/>
      <c r="C56" s="96">
        <v>0</v>
      </c>
      <c r="D56" s="108">
        <v>0</v>
      </c>
      <c r="E56" s="194">
        <v>0</v>
      </c>
      <c r="F56" s="193">
        <v>0</v>
      </c>
      <c r="G56" s="272">
        <f t="shared" si="2"/>
        <v>0</v>
      </c>
    </row>
    <row r="57" spans="1:279" s="6" customFormat="1" ht="11.25" x14ac:dyDescent="0.2">
      <c r="A57" s="51" t="s">
        <v>128</v>
      </c>
      <c r="B57" s="85"/>
      <c r="C57" s="52">
        <f>SUM(C4:C56)</f>
        <v>1534811206.9641054</v>
      </c>
      <c r="D57" s="52">
        <f>SUM(D4:D56)</f>
        <v>1459834520.1584425</v>
      </c>
      <c r="E57" s="53">
        <f>SUM(E4:E56)</f>
        <v>1494626279.3915002</v>
      </c>
      <c r="F57" s="54">
        <f>E57/D57</f>
        <v>1.023832673328811</v>
      </c>
      <c r="G57" s="273">
        <f>SUM(G4:G56)</f>
        <v>-104042606.11286879</v>
      </c>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c r="CE57" s="201"/>
      <c r="CF57" s="201"/>
      <c r="CG57" s="201"/>
      <c r="CH57" s="201"/>
      <c r="CI57" s="201"/>
      <c r="CJ57" s="201"/>
      <c r="CK57" s="201"/>
      <c r="CL57" s="201"/>
      <c r="CM57" s="201"/>
      <c r="CN57" s="201"/>
      <c r="CO57" s="201"/>
      <c r="CP57" s="201"/>
      <c r="CQ57" s="201"/>
      <c r="CR57" s="201"/>
      <c r="CS57" s="201"/>
      <c r="CT57" s="201"/>
      <c r="CU57" s="201"/>
      <c r="CV57" s="201"/>
      <c r="CW57" s="201"/>
      <c r="CX57" s="201"/>
      <c r="CY57" s="201"/>
      <c r="CZ57" s="201"/>
      <c r="DA57" s="201"/>
      <c r="DB57" s="201"/>
      <c r="DC57" s="201"/>
      <c r="DD57" s="201"/>
      <c r="DE57" s="201"/>
      <c r="DF57" s="201"/>
      <c r="DG57" s="201"/>
      <c r="DH57" s="201"/>
      <c r="DI57" s="201"/>
      <c r="DJ57" s="201"/>
      <c r="DK57" s="201"/>
      <c r="DL57" s="201"/>
      <c r="DM57" s="201"/>
      <c r="DN57" s="201"/>
      <c r="DO57" s="201"/>
      <c r="DP57" s="201"/>
      <c r="DQ57" s="201"/>
      <c r="DR57" s="201"/>
      <c r="DS57" s="201"/>
      <c r="DT57" s="201"/>
      <c r="DU57" s="201"/>
      <c r="DV57" s="201"/>
      <c r="DW57" s="201"/>
      <c r="DX57" s="201"/>
      <c r="DY57" s="201"/>
      <c r="DZ57" s="201"/>
      <c r="EA57" s="201"/>
      <c r="EB57" s="201"/>
      <c r="EC57" s="201"/>
      <c r="ED57" s="201"/>
      <c r="EE57" s="201"/>
      <c r="EF57" s="201"/>
      <c r="EG57" s="201"/>
      <c r="EH57" s="201"/>
      <c r="EI57" s="201"/>
      <c r="EJ57" s="201"/>
      <c r="EK57" s="201"/>
      <c r="EL57" s="201"/>
      <c r="EM57" s="201"/>
      <c r="EN57" s="201"/>
      <c r="EO57" s="201"/>
      <c r="EP57" s="201"/>
      <c r="EQ57" s="201"/>
      <c r="ER57" s="201"/>
      <c r="ES57" s="201"/>
      <c r="ET57" s="201"/>
      <c r="EU57" s="201"/>
      <c r="EV57" s="201"/>
      <c r="EW57" s="201"/>
      <c r="EX57" s="201"/>
      <c r="EY57" s="201"/>
      <c r="EZ57" s="201"/>
      <c r="FA57" s="201"/>
      <c r="FB57" s="201"/>
      <c r="FC57" s="201"/>
      <c r="FD57" s="201"/>
      <c r="FE57" s="201"/>
      <c r="FF57" s="201"/>
      <c r="FG57" s="201"/>
      <c r="FH57" s="201"/>
      <c r="FI57" s="201"/>
      <c r="FJ57" s="201"/>
      <c r="FK57" s="201"/>
      <c r="FL57" s="201"/>
      <c r="FM57" s="201"/>
      <c r="FN57" s="201"/>
      <c r="FO57" s="201"/>
      <c r="FP57" s="201"/>
      <c r="FQ57" s="201"/>
      <c r="FR57" s="201"/>
      <c r="FS57" s="201"/>
      <c r="FT57" s="201"/>
      <c r="FU57" s="201"/>
      <c r="FV57" s="201"/>
      <c r="FW57" s="201"/>
      <c r="FX57" s="201"/>
      <c r="FY57" s="201"/>
      <c r="FZ57" s="201"/>
      <c r="GA57" s="201"/>
      <c r="GB57" s="201"/>
      <c r="GC57" s="201"/>
      <c r="GD57" s="201"/>
      <c r="GE57" s="201"/>
      <c r="GF57" s="201"/>
      <c r="GG57" s="201"/>
      <c r="GH57" s="201"/>
      <c r="GI57" s="201"/>
      <c r="GJ57" s="201"/>
      <c r="GK57" s="201"/>
      <c r="GL57" s="201"/>
      <c r="GM57" s="201"/>
      <c r="GN57" s="201"/>
      <c r="GO57" s="201"/>
      <c r="GP57" s="201"/>
      <c r="GQ57" s="201"/>
      <c r="GR57" s="201"/>
      <c r="GS57" s="201"/>
      <c r="GT57" s="201"/>
      <c r="GU57" s="201"/>
      <c r="GV57" s="201"/>
      <c r="GW57" s="201"/>
      <c r="GX57" s="201"/>
      <c r="GY57" s="201"/>
      <c r="GZ57" s="201"/>
      <c r="HA57" s="201"/>
      <c r="HB57" s="201"/>
      <c r="HC57" s="201"/>
      <c r="HD57" s="201"/>
      <c r="HE57" s="201"/>
      <c r="HF57" s="201"/>
      <c r="HG57" s="201"/>
      <c r="HH57" s="201"/>
      <c r="HI57" s="201"/>
      <c r="HJ57" s="201"/>
      <c r="HK57" s="201"/>
      <c r="HL57" s="201"/>
      <c r="HM57" s="201"/>
      <c r="HN57" s="201"/>
      <c r="HO57" s="201"/>
      <c r="HP57" s="201"/>
      <c r="HQ57" s="201"/>
      <c r="HR57" s="201"/>
      <c r="HS57" s="201"/>
      <c r="HT57" s="201"/>
      <c r="HU57" s="201"/>
      <c r="HV57" s="201"/>
      <c r="HW57" s="201"/>
      <c r="HX57" s="201"/>
      <c r="HY57" s="201"/>
      <c r="HZ57" s="201"/>
      <c r="IA57" s="201"/>
      <c r="IB57" s="201"/>
      <c r="IC57" s="201"/>
      <c r="ID57" s="201"/>
      <c r="IE57" s="201"/>
      <c r="IF57" s="201"/>
      <c r="IG57" s="201"/>
      <c r="IH57" s="201"/>
      <c r="II57" s="201"/>
      <c r="IJ57" s="201"/>
      <c r="IK57" s="201"/>
      <c r="IL57" s="201"/>
      <c r="IM57" s="201"/>
      <c r="IN57" s="201"/>
      <c r="IO57" s="201"/>
      <c r="IP57" s="201"/>
      <c r="IQ57" s="201"/>
      <c r="IR57" s="201"/>
      <c r="IS57" s="201"/>
      <c r="IT57" s="201"/>
      <c r="IU57" s="201"/>
      <c r="IV57" s="201"/>
      <c r="IW57" s="201"/>
      <c r="IX57" s="201"/>
      <c r="IY57" s="201"/>
      <c r="IZ57" s="201"/>
      <c r="JA57" s="201"/>
      <c r="JB57" s="201"/>
      <c r="JC57" s="201"/>
      <c r="JD57" s="201"/>
      <c r="JE57" s="201"/>
      <c r="JF57" s="201"/>
      <c r="JG57" s="201"/>
      <c r="JH57" s="201"/>
      <c r="JI57" s="201"/>
      <c r="JJ57" s="201"/>
      <c r="JK57" s="201"/>
      <c r="JL57" s="201"/>
      <c r="JM57" s="201"/>
      <c r="JN57" s="201"/>
      <c r="JO57" s="201"/>
      <c r="JP57" s="201"/>
      <c r="JQ57" s="201"/>
      <c r="JR57" s="201"/>
      <c r="JS57" s="201"/>
    </row>
    <row r="58" spans="1:279" s="201" customFormat="1" ht="61.9" customHeight="1" x14ac:dyDescent="0.2">
      <c r="A58" s="806" t="s">
        <v>688</v>
      </c>
      <c r="B58" s="806"/>
      <c r="C58" s="806"/>
      <c r="D58" s="806"/>
      <c r="E58" s="806"/>
      <c r="F58" s="806"/>
      <c r="G58" s="806"/>
      <c r="H58" s="202"/>
      <c r="I58" s="202"/>
      <c r="J58" s="202"/>
      <c r="K58" s="202"/>
      <c r="L58" s="202"/>
      <c r="M58" s="202"/>
    </row>
    <row r="59" spans="1:279" s="201" customFormat="1" ht="25.5" customHeight="1" x14ac:dyDescent="0.2">
      <c r="A59" s="781" t="s">
        <v>748</v>
      </c>
      <c r="B59" s="781"/>
      <c r="C59" s="781"/>
      <c r="D59" s="781"/>
      <c r="E59" s="781"/>
      <c r="F59" s="781"/>
      <c r="G59" s="781"/>
      <c r="H59" s="202"/>
      <c r="I59" s="202"/>
      <c r="J59" s="202"/>
      <c r="K59" s="202"/>
      <c r="L59" s="202"/>
      <c r="M59" s="202"/>
    </row>
    <row r="60" spans="1:279" s="23" customFormat="1" x14ac:dyDescent="0.25">
      <c r="A60" s="873"/>
      <c r="B60" s="873"/>
      <c r="C60" s="873"/>
      <c r="D60" s="873"/>
      <c r="E60" s="873"/>
      <c r="F60" s="873"/>
      <c r="G60" s="264"/>
    </row>
    <row r="61" spans="1:279" s="23" customFormat="1" x14ac:dyDescent="0.25">
      <c r="B61" s="203"/>
      <c r="C61" s="162"/>
      <c r="D61" s="204"/>
      <c r="E61" s="204"/>
      <c r="F61" s="204"/>
      <c r="G61" s="204"/>
    </row>
    <row r="63" spans="1:279" x14ac:dyDescent="0.25">
      <c r="E63" s="198"/>
    </row>
    <row r="64" spans="1:279" x14ac:dyDescent="0.25">
      <c r="E64" s="199"/>
    </row>
  </sheetData>
  <mergeCells count="42">
    <mergeCell ref="A60:F60"/>
    <mergeCell ref="F2:F3"/>
    <mergeCell ref="A10:A11"/>
    <mergeCell ref="A16:A17"/>
    <mergeCell ref="A2:A3"/>
    <mergeCell ref="B2:B3"/>
    <mergeCell ref="C2:C3"/>
    <mergeCell ref="D2:D3"/>
    <mergeCell ref="E2:E3"/>
    <mergeCell ref="A56:B56"/>
    <mergeCell ref="A50:A51"/>
    <mergeCell ref="D34:D35"/>
    <mergeCell ref="E34:E35"/>
    <mergeCell ref="F34:F35"/>
    <mergeCell ref="A1:G1"/>
    <mergeCell ref="C50:C51"/>
    <mergeCell ref="A58:G58"/>
    <mergeCell ref="A59:G59"/>
    <mergeCell ref="F50:F51"/>
    <mergeCell ref="E50:E51"/>
    <mergeCell ref="D50:D51"/>
    <mergeCell ref="G50:G51"/>
    <mergeCell ref="G2:G3"/>
    <mergeCell ref="A28:A32"/>
    <mergeCell ref="C28:C32"/>
    <mergeCell ref="D28:D32"/>
    <mergeCell ref="E28:E32"/>
    <mergeCell ref="F28:F32"/>
    <mergeCell ref="G28:G32"/>
    <mergeCell ref="C34:C35"/>
    <mergeCell ref="G34:G35"/>
    <mergeCell ref="C36:C37"/>
    <mergeCell ref="D36:D37"/>
    <mergeCell ref="E36:E37"/>
    <mergeCell ref="F36:F37"/>
    <mergeCell ref="G36:G37"/>
    <mergeCell ref="G38:G41"/>
    <mergeCell ref="A38:A41"/>
    <mergeCell ref="C38:C41"/>
    <mergeCell ref="D38:D41"/>
    <mergeCell ref="E38:E41"/>
    <mergeCell ref="F38:F41"/>
  </mergeCells>
  <printOptions horizontalCentered="1"/>
  <pageMargins left="0.39370078740157483" right="0.39370078740157483" top="0.39370078740157483" bottom="0.39370078740157483" header="0.31496062992125984" footer="0.31496062992125984"/>
  <pageSetup paperSize="9" fitToHeight="0" orientation="landscape" r:id="rId1"/>
  <rowBreaks count="3" manualBreakCount="3">
    <brk id="21" max="6" man="1"/>
    <brk id="37" max="6" man="1"/>
    <brk id="41"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99720-82A5-4711-BAD3-BBE99F3FDBCD}">
  <dimension ref="A1:I102"/>
  <sheetViews>
    <sheetView view="pageBreakPreview" zoomScaleNormal="100" zoomScaleSheetLayoutView="100" workbookViewId="0">
      <selection activeCell="H59" sqref="H59"/>
    </sheetView>
  </sheetViews>
  <sheetFormatPr defaultRowHeight="15" x14ac:dyDescent="0.25"/>
  <cols>
    <col min="1" max="1" width="10.85546875" customWidth="1"/>
    <col min="2" max="2" width="31.85546875" customWidth="1"/>
    <col min="3" max="3" width="22.7109375" customWidth="1"/>
    <col min="4" max="4" width="19.7109375" customWidth="1"/>
    <col min="5" max="5" width="22.7109375" customWidth="1"/>
    <col min="6" max="6" width="16.5703125" customWidth="1"/>
  </cols>
  <sheetData>
    <row r="1" spans="1:8" ht="15.75" x14ac:dyDescent="0.25">
      <c r="A1" s="920" t="s">
        <v>770</v>
      </c>
      <c r="B1" s="920"/>
      <c r="C1" s="920"/>
      <c r="D1" s="920"/>
      <c r="E1" s="920"/>
      <c r="F1" s="920"/>
    </row>
    <row r="2" spans="1:8" ht="22.5" x14ac:dyDescent="0.25">
      <c r="A2" s="104" t="s">
        <v>73</v>
      </c>
      <c r="B2" s="195" t="s">
        <v>0</v>
      </c>
      <c r="C2" s="195" t="s">
        <v>693</v>
      </c>
      <c r="D2" s="195" t="s">
        <v>382</v>
      </c>
      <c r="E2" s="195" t="s">
        <v>74</v>
      </c>
      <c r="F2" s="195" t="s">
        <v>129</v>
      </c>
    </row>
    <row r="3" spans="1:8" ht="22.5" x14ac:dyDescent="0.25">
      <c r="A3" s="171">
        <v>1</v>
      </c>
      <c r="B3" s="281" t="s">
        <v>3</v>
      </c>
      <c r="C3" s="219" t="s">
        <v>75</v>
      </c>
      <c r="D3" s="106">
        <v>42921</v>
      </c>
      <c r="E3" s="106">
        <v>45488</v>
      </c>
      <c r="F3" s="159">
        <v>2400225.14</v>
      </c>
    </row>
    <row r="4" spans="1:8" x14ac:dyDescent="0.25">
      <c r="A4" s="907" t="s">
        <v>4</v>
      </c>
      <c r="B4" s="918" t="s">
        <v>5</v>
      </c>
      <c r="C4" s="57" t="s">
        <v>76</v>
      </c>
      <c r="D4" s="106">
        <v>43812</v>
      </c>
      <c r="E4" s="106">
        <v>44104</v>
      </c>
      <c r="F4" s="159">
        <v>5458258.3399999999</v>
      </c>
    </row>
    <row r="5" spans="1:8" x14ac:dyDescent="0.25">
      <c r="A5" s="907"/>
      <c r="B5" s="919"/>
      <c r="C5" s="57" t="s">
        <v>76</v>
      </c>
      <c r="D5" s="106">
        <v>45042</v>
      </c>
      <c r="E5" s="106">
        <v>45131</v>
      </c>
      <c r="F5" s="108">
        <v>3123967</v>
      </c>
      <c r="H5" s="50"/>
    </row>
    <row r="6" spans="1:8" x14ac:dyDescent="0.25">
      <c r="A6" s="907" t="s">
        <v>6</v>
      </c>
      <c r="B6" s="918" t="s">
        <v>7</v>
      </c>
      <c r="C6" s="900" t="s">
        <v>76</v>
      </c>
      <c r="D6" s="106">
        <v>42628</v>
      </c>
      <c r="E6" s="106">
        <v>42704</v>
      </c>
      <c r="F6" s="884">
        <v>1929851</v>
      </c>
    </row>
    <row r="7" spans="1:8" x14ac:dyDescent="0.25">
      <c r="A7" s="907"/>
      <c r="B7" s="921"/>
      <c r="C7" s="901"/>
      <c r="D7" s="106">
        <v>42814</v>
      </c>
      <c r="E7" s="106">
        <v>43069</v>
      </c>
      <c r="F7" s="885"/>
    </row>
    <row r="8" spans="1:8" x14ac:dyDescent="0.25">
      <c r="A8" s="907"/>
      <c r="B8" s="921"/>
      <c r="C8" s="901"/>
      <c r="D8" s="106">
        <v>43410.500011574077</v>
      </c>
      <c r="E8" s="106">
        <v>43454.999988425923</v>
      </c>
      <c r="F8" s="885"/>
    </row>
    <row r="9" spans="1:8" x14ac:dyDescent="0.25">
      <c r="A9" s="907"/>
      <c r="B9" s="921"/>
      <c r="C9" s="901"/>
      <c r="D9" s="106">
        <v>43509</v>
      </c>
      <c r="E9" s="106">
        <v>43817</v>
      </c>
      <c r="F9" s="885"/>
    </row>
    <row r="10" spans="1:8" x14ac:dyDescent="0.25">
      <c r="A10" s="907"/>
      <c r="B10" s="921"/>
      <c r="C10" s="901"/>
      <c r="D10" s="106">
        <v>43916</v>
      </c>
      <c r="E10" s="106">
        <v>44110</v>
      </c>
      <c r="F10" s="885"/>
    </row>
    <row r="11" spans="1:8" x14ac:dyDescent="0.25">
      <c r="A11" s="907"/>
      <c r="B11" s="921"/>
      <c r="C11" s="901"/>
      <c r="D11" s="106">
        <v>44368</v>
      </c>
      <c r="E11" s="106">
        <v>44546</v>
      </c>
      <c r="F11" s="885"/>
    </row>
    <row r="12" spans="1:8" x14ac:dyDescent="0.25">
      <c r="A12" s="907"/>
      <c r="B12" s="921"/>
      <c r="C12" s="901"/>
      <c r="D12" s="106">
        <v>44741</v>
      </c>
      <c r="E12" s="106">
        <v>44910</v>
      </c>
      <c r="F12" s="885"/>
    </row>
    <row r="13" spans="1:8" x14ac:dyDescent="0.25">
      <c r="A13" s="907"/>
      <c r="B13" s="919"/>
      <c r="C13" s="902"/>
      <c r="D13" s="106">
        <v>45128</v>
      </c>
      <c r="E13" s="106">
        <v>45275</v>
      </c>
      <c r="F13" s="886"/>
    </row>
    <row r="14" spans="1:8" x14ac:dyDescent="0.25">
      <c r="A14" s="907"/>
      <c r="B14" s="917" t="s">
        <v>8</v>
      </c>
      <c r="C14" s="900" t="s">
        <v>78</v>
      </c>
      <c r="D14" s="106">
        <v>43020</v>
      </c>
      <c r="E14" s="106">
        <v>43100</v>
      </c>
      <c r="F14" s="922">
        <f>1500000-180000</f>
        <v>1320000</v>
      </c>
    </row>
    <row r="15" spans="1:8" x14ac:dyDescent="0.25">
      <c r="A15" s="907"/>
      <c r="B15" s="917"/>
      <c r="C15" s="901"/>
      <c r="D15" s="106">
        <v>43153.000011574077</v>
      </c>
      <c r="E15" s="106">
        <v>43434.999988425923</v>
      </c>
      <c r="F15" s="922"/>
    </row>
    <row r="16" spans="1:8" x14ac:dyDescent="0.25">
      <c r="A16" s="907"/>
      <c r="B16" s="917"/>
      <c r="C16" s="902"/>
      <c r="D16" s="106">
        <v>44762</v>
      </c>
      <c r="E16" s="106">
        <v>44910</v>
      </c>
      <c r="F16" s="922"/>
    </row>
    <row r="17" spans="1:6" ht="22.5" x14ac:dyDescent="0.25">
      <c r="A17" s="907"/>
      <c r="B17" s="917"/>
      <c r="C17" s="57" t="s">
        <v>79</v>
      </c>
      <c r="D17" s="106">
        <v>43266</v>
      </c>
      <c r="E17" s="106">
        <v>43297</v>
      </c>
      <c r="F17" s="916">
        <v>1200000</v>
      </c>
    </row>
    <row r="18" spans="1:6" ht="22.5" x14ac:dyDescent="0.25">
      <c r="A18" s="907"/>
      <c r="B18" s="917"/>
      <c r="C18" s="57" t="s">
        <v>338</v>
      </c>
      <c r="D18" s="106" t="s">
        <v>339</v>
      </c>
      <c r="E18" s="106">
        <v>44286</v>
      </c>
      <c r="F18" s="916"/>
    </row>
    <row r="19" spans="1:6" x14ac:dyDescent="0.25">
      <c r="A19" s="907" t="s">
        <v>9</v>
      </c>
      <c r="B19" s="917" t="s">
        <v>10</v>
      </c>
      <c r="C19" s="57" t="s">
        <v>80</v>
      </c>
      <c r="D19" s="106">
        <v>42702</v>
      </c>
      <c r="E19" s="2">
        <v>42751</v>
      </c>
      <c r="F19" s="159">
        <v>79000000</v>
      </c>
    </row>
    <row r="20" spans="1:6" ht="22.5" x14ac:dyDescent="0.25">
      <c r="A20" s="907"/>
      <c r="B20" s="917"/>
      <c r="C20" s="57" t="s">
        <v>498</v>
      </c>
      <c r="D20" s="106">
        <v>44602</v>
      </c>
      <c r="E20" s="105">
        <v>45322</v>
      </c>
      <c r="F20" s="159">
        <v>12000000</v>
      </c>
    </row>
    <row r="21" spans="1:6" x14ac:dyDescent="0.25">
      <c r="A21" s="907"/>
      <c r="B21" s="917"/>
      <c r="C21" s="57" t="s">
        <v>81</v>
      </c>
      <c r="D21" s="106">
        <v>43010</v>
      </c>
      <c r="E21" s="106">
        <v>43042.999305555553</v>
      </c>
      <c r="F21" s="159">
        <v>5000000</v>
      </c>
    </row>
    <row r="22" spans="1:6" x14ac:dyDescent="0.25">
      <c r="A22" s="907"/>
      <c r="B22" s="917"/>
      <c r="C22" s="57" t="s">
        <v>494</v>
      </c>
      <c r="D22" s="106">
        <v>44602</v>
      </c>
      <c r="E22" s="106">
        <v>45363</v>
      </c>
      <c r="F22" s="100">
        <v>6227346.3799999999</v>
      </c>
    </row>
    <row r="23" spans="1:6" x14ac:dyDescent="0.25">
      <c r="A23" s="907"/>
      <c r="B23" s="917"/>
      <c r="C23" s="57" t="s">
        <v>82</v>
      </c>
      <c r="D23" s="106">
        <v>42809.416666666664</v>
      </c>
      <c r="E23" s="106">
        <v>42839.999988425923</v>
      </c>
      <c r="F23" s="159">
        <v>46798515</v>
      </c>
    </row>
    <row r="24" spans="1:6" ht="22.5" x14ac:dyDescent="0.25">
      <c r="A24" s="907"/>
      <c r="B24" s="917"/>
      <c r="C24" s="57" t="s">
        <v>79</v>
      </c>
      <c r="D24" s="106">
        <v>43266</v>
      </c>
      <c r="E24" s="106">
        <v>43297</v>
      </c>
      <c r="F24" s="916">
        <v>60000000</v>
      </c>
    </row>
    <row r="25" spans="1:6" ht="22.5" x14ac:dyDescent="0.25">
      <c r="A25" s="907"/>
      <c r="B25" s="917"/>
      <c r="C25" s="57" t="s">
        <v>338</v>
      </c>
      <c r="D25" s="106" t="s">
        <v>339</v>
      </c>
      <c r="E25" s="106">
        <v>44286</v>
      </c>
      <c r="F25" s="916"/>
    </row>
    <row r="26" spans="1:6" ht="22.5" x14ac:dyDescent="0.25">
      <c r="A26" s="907"/>
      <c r="B26" s="917" t="s">
        <v>11</v>
      </c>
      <c r="C26" s="57" t="s">
        <v>83</v>
      </c>
      <c r="D26" s="106">
        <v>42709</v>
      </c>
      <c r="E26" s="106">
        <v>42751</v>
      </c>
      <c r="F26" s="159">
        <v>25000000</v>
      </c>
    </row>
    <row r="27" spans="1:6" ht="22.5" x14ac:dyDescent="0.25">
      <c r="A27" s="907"/>
      <c r="B27" s="917"/>
      <c r="C27" s="57" t="s">
        <v>497</v>
      </c>
      <c r="D27" s="106">
        <v>44623</v>
      </c>
      <c r="E27" s="106">
        <v>45138</v>
      </c>
      <c r="F27" s="100">
        <v>11484634.48</v>
      </c>
    </row>
    <row r="28" spans="1:6" ht="22.5" x14ac:dyDescent="0.25">
      <c r="A28" s="907"/>
      <c r="B28" s="917"/>
      <c r="C28" s="57" t="s">
        <v>79</v>
      </c>
      <c r="D28" s="106">
        <v>43266</v>
      </c>
      <c r="E28" s="106">
        <v>43297</v>
      </c>
      <c r="F28" s="916">
        <v>16450000</v>
      </c>
    </row>
    <row r="29" spans="1:6" ht="22.5" x14ac:dyDescent="0.25">
      <c r="A29" s="907"/>
      <c r="B29" s="917"/>
      <c r="C29" s="57" t="s">
        <v>338</v>
      </c>
      <c r="D29" s="106" t="s">
        <v>339</v>
      </c>
      <c r="E29" s="106">
        <v>44286</v>
      </c>
      <c r="F29" s="916"/>
    </row>
    <row r="30" spans="1:6" ht="33.75" x14ac:dyDescent="0.25">
      <c r="A30" s="907"/>
      <c r="B30" s="281" t="s">
        <v>12</v>
      </c>
      <c r="C30" s="57" t="s">
        <v>259</v>
      </c>
      <c r="D30" s="106">
        <v>42984</v>
      </c>
      <c r="E30" s="106">
        <v>43014</v>
      </c>
      <c r="F30" s="159">
        <f>'M04'!C31</f>
        <v>55648156</v>
      </c>
    </row>
    <row r="31" spans="1:6" x14ac:dyDescent="0.25">
      <c r="A31" s="907"/>
      <c r="B31" s="918" t="s">
        <v>13</v>
      </c>
      <c r="C31" s="57" t="s">
        <v>84</v>
      </c>
      <c r="D31" s="106">
        <v>43132</v>
      </c>
      <c r="E31" s="106">
        <v>43160</v>
      </c>
      <c r="F31" s="159">
        <v>12242741</v>
      </c>
    </row>
    <row r="32" spans="1:6" ht="22.5" x14ac:dyDescent="0.25">
      <c r="A32" s="907"/>
      <c r="B32" s="919"/>
      <c r="C32" s="57" t="s">
        <v>562</v>
      </c>
      <c r="D32" s="106">
        <v>45085</v>
      </c>
      <c r="E32" s="106">
        <v>45119</v>
      </c>
      <c r="F32" s="159">
        <v>3412416.41</v>
      </c>
    </row>
    <row r="33" spans="1:6" ht="33.75" x14ac:dyDescent="0.25">
      <c r="A33" s="907" t="s">
        <v>14</v>
      </c>
      <c r="B33" s="917" t="s">
        <v>15</v>
      </c>
      <c r="C33" s="57" t="s">
        <v>85</v>
      </c>
      <c r="D33" s="106">
        <v>43500.416678240741</v>
      </c>
      <c r="E33" s="106">
        <v>43648.999988425923</v>
      </c>
      <c r="F33" s="159">
        <v>1400000</v>
      </c>
    </row>
    <row r="34" spans="1:6" ht="33.75" x14ac:dyDescent="0.25">
      <c r="A34" s="907"/>
      <c r="B34" s="917"/>
      <c r="C34" s="57" t="s">
        <v>86</v>
      </c>
      <c r="D34" s="106">
        <v>43885</v>
      </c>
      <c r="E34" s="106">
        <v>44043</v>
      </c>
      <c r="F34" s="284">
        <v>2411000</v>
      </c>
    </row>
    <row r="35" spans="1:6" ht="22.5" x14ac:dyDescent="0.25">
      <c r="A35" s="907"/>
      <c r="B35" s="281" t="s">
        <v>16</v>
      </c>
      <c r="C35" s="57" t="s">
        <v>87</v>
      </c>
      <c r="D35" s="106">
        <v>43052</v>
      </c>
      <c r="E35" s="106">
        <v>43111</v>
      </c>
      <c r="F35" s="159">
        <v>2500000</v>
      </c>
    </row>
    <row r="36" spans="1:6" ht="22.5" x14ac:dyDescent="0.25">
      <c r="A36" s="913"/>
      <c r="B36" s="281" t="s">
        <v>16</v>
      </c>
      <c r="C36" s="57" t="s">
        <v>381</v>
      </c>
      <c r="D36" s="106">
        <v>44195</v>
      </c>
      <c r="E36" s="31">
        <v>44592</v>
      </c>
      <c r="F36" s="159">
        <v>4250000</v>
      </c>
    </row>
    <row r="37" spans="1:6" ht="22.5" x14ac:dyDescent="0.25">
      <c r="A37" s="907"/>
      <c r="B37" s="281" t="s">
        <v>16</v>
      </c>
      <c r="C37" s="57" t="s">
        <v>597</v>
      </c>
      <c r="D37" s="106">
        <v>45261</v>
      </c>
      <c r="E37" s="31">
        <v>45397</v>
      </c>
      <c r="F37" s="159">
        <v>5000000</v>
      </c>
    </row>
    <row r="38" spans="1:6" x14ac:dyDescent="0.25">
      <c r="A38" s="907" t="s">
        <v>17</v>
      </c>
      <c r="B38" s="917" t="s">
        <v>18</v>
      </c>
      <c r="C38" s="57" t="s">
        <v>88</v>
      </c>
      <c r="D38" s="106">
        <v>42809.416666666664</v>
      </c>
      <c r="E38" s="106">
        <v>42839.999988425923</v>
      </c>
      <c r="F38" s="159">
        <f>29580000+9000000+10000000</f>
        <v>48580000</v>
      </c>
    </row>
    <row r="39" spans="1:6" x14ac:dyDescent="0.25">
      <c r="A39" s="907"/>
      <c r="B39" s="917"/>
      <c r="C39" s="57" t="s">
        <v>89</v>
      </c>
      <c r="D39" s="106">
        <v>42809</v>
      </c>
      <c r="E39" s="106">
        <v>42839.999988425923</v>
      </c>
      <c r="F39" s="159">
        <f>21300000+2800000</f>
        <v>24100000</v>
      </c>
    </row>
    <row r="40" spans="1:6" x14ac:dyDescent="0.25">
      <c r="A40" s="907"/>
      <c r="B40" s="917"/>
      <c r="C40" s="57" t="s">
        <v>484</v>
      </c>
      <c r="D40" s="106">
        <v>44596</v>
      </c>
      <c r="E40" s="106">
        <v>44718</v>
      </c>
      <c r="F40" s="159">
        <v>28000000</v>
      </c>
    </row>
    <row r="41" spans="1:6" ht="33.75" x14ac:dyDescent="0.25">
      <c r="A41" s="907"/>
      <c r="B41" s="281" t="s">
        <v>19</v>
      </c>
      <c r="C41" s="57" t="s">
        <v>90</v>
      </c>
      <c r="D41" s="106">
        <v>42992</v>
      </c>
      <c r="E41" s="106">
        <v>43035</v>
      </c>
      <c r="F41" s="159">
        <v>10000000</v>
      </c>
    </row>
    <row r="42" spans="1:6" x14ac:dyDescent="0.25">
      <c r="A42" s="907"/>
      <c r="B42" s="918" t="s">
        <v>20</v>
      </c>
      <c r="C42" s="900" t="s">
        <v>107</v>
      </c>
      <c r="D42" s="106">
        <v>42992</v>
      </c>
      <c r="E42" s="106">
        <v>43035</v>
      </c>
      <c r="F42" s="159">
        <v>8000000</v>
      </c>
    </row>
    <row r="43" spans="1:6" x14ac:dyDescent="0.25">
      <c r="A43" s="913"/>
      <c r="B43" s="919"/>
      <c r="C43" s="902"/>
      <c r="D43" s="386">
        <v>45404</v>
      </c>
      <c r="E43" s="386">
        <v>45475</v>
      </c>
      <c r="F43" s="159">
        <v>2200000</v>
      </c>
    </row>
    <row r="44" spans="1:6" ht="22.5" x14ac:dyDescent="0.25">
      <c r="A44" s="907"/>
      <c r="B44" s="281" t="s">
        <v>21</v>
      </c>
      <c r="C44" s="57" t="s">
        <v>91</v>
      </c>
      <c r="D44" s="106">
        <v>42992</v>
      </c>
      <c r="E44" s="106">
        <v>43035</v>
      </c>
      <c r="F44" s="159">
        <v>10000000</v>
      </c>
    </row>
    <row r="45" spans="1:6" ht="45" x14ac:dyDescent="0.25">
      <c r="A45" s="907" t="s">
        <v>22</v>
      </c>
      <c r="B45" s="111" t="s">
        <v>23</v>
      </c>
      <c r="C45" s="57" t="s">
        <v>260</v>
      </c>
      <c r="D45" s="106">
        <v>43829</v>
      </c>
      <c r="E45" s="106">
        <v>44043</v>
      </c>
      <c r="F45" s="159">
        <v>1000000</v>
      </c>
    </row>
    <row r="46" spans="1:6" x14ac:dyDescent="0.25">
      <c r="A46" s="907"/>
      <c r="B46" s="909" t="s">
        <v>24</v>
      </c>
      <c r="C46" s="57" t="s">
        <v>92</v>
      </c>
      <c r="D46" s="106">
        <v>43287.416678240741</v>
      </c>
      <c r="E46" s="106">
        <v>43361.584016203706</v>
      </c>
      <c r="F46" s="911">
        <v>4125000</v>
      </c>
    </row>
    <row r="47" spans="1:6" ht="22.5" x14ac:dyDescent="0.25">
      <c r="A47" s="907"/>
      <c r="B47" s="910"/>
      <c r="C47" s="57" t="s">
        <v>499</v>
      </c>
      <c r="D47" s="106">
        <v>44636</v>
      </c>
      <c r="E47" s="106">
        <v>44718</v>
      </c>
      <c r="F47" s="912"/>
    </row>
    <row r="48" spans="1:6" ht="22.5" x14ac:dyDescent="0.25">
      <c r="A48" s="907"/>
      <c r="B48" s="281" t="s">
        <v>25</v>
      </c>
      <c r="C48" s="57" t="s">
        <v>93</v>
      </c>
      <c r="D48" s="106">
        <v>42368</v>
      </c>
      <c r="E48" s="106"/>
      <c r="F48" s="285">
        <v>16218739</v>
      </c>
    </row>
    <row r="49" spans="1:9" ht="22.5" x14ac:dyDescent="0.25">
      <c r="A49" s="907"/>
      <c r="B49" s="111" t="s">
        <v>26</v>
      </c>
      <c r="C49" s="57" t="s">
        <v>96</v>
      </c>
      <c r="D49" s="286" t="s">
        <v>77</v>
      </c>
      <c r="E49" s="286" t="s">
        <v>77</v>
      </c>
      <c r="F49" s="287" t="s">
        <v>77</v>
      </c>
    </row>
    <row r="50" spans="1:9" ht="22.5" x14ac:dyDescent="0.25">
      <c r="A50" s="907"/>
      <c r="B50" s="111" t="s">
        <v>27</v>
      </c>
      <c r="C50" s="57" t="s">
        <v>94</v>
      </c>
      <c r="D50" s="106">
        <v>43535.416678240741</v>
      </c>
      <c r="E50" s="106">
        <v>43585.583321759259</v>
      </c>
      <c r="F50" s="285">
        <v>736791</v>
      </c>
    </row>
    <row r="51" spans="1:9" ht="33.75" x14ac:dyDescent="0.25">
      <c r="A51" s="907"/>
      <c r="B51" s="111" t="s">
        <v>28</v>
      </c>
      <c r="C51" s="57" t="s">
        <v>95</v>
      </c>
      <c r="D51" s="106">
        <v>43287.416678240741</v>
      </c>
      <c r="E51" s="106">
        <v>43361.584016203706</v>
      </c>
      <c r="F51" s="159">
        <v>3000000</v>
      </c>
    </row>
    <row r="52" spans="1:9" ht="33.75" x14ac:dyDescent="0.25">
      <c r="A52" s="907" t="s">
        <v>29</v>
      </c>
      <c r="B52" s="111" t="s">
        <v>30</v>
      </c>
      <c r="C52" s="57" t="s">
        <v>623</v>
      </c>
      <c r="D52" s="57" t="s">
        <v>77</v>
      </c>
      <c r="E52" s="57" t="s">
        <v>77</v>
      </c>
      <c r="F52" s="159">
        <v>15967539.303690501</v>
      </c>
    </row>
    <row r="53" spans="1:9" ht="45" x14ac:dyDescent="0.25">
      <c r="A53" s="907"/>
      <c r="B53" s="111" t="s">
        <v>31</v>
      </c>
      <c r="C53" s="57" t="s">
        <v>251</v>
      </c>
      <c r="D53" s="288">
        <v>43507.000011574077</v>
      </c>
      <c r="E53" s="106">
        <v>43644</v>
      </c>
      <c r="F53" s="159">
        <v>10357998</v>
      </c>
    </row>
    <row r="54" spans="1:9" ht="45" x14ac:dyDescent="0.25">
      <c r="A54" s="907"/>
      <c r="B54" s="111" t="s">
        <v>32</v>
      </c>
      <c r="C54" s="57" t="s">
        <v>97</v>
      </c>
      <c r="D54" s="106">
        <v>43299.000011574077</v>
      </c>
      <c r="E54" s="106">
        <v>43434.999988425923</v>
      </c>
      <c r="F54" s="159">
        <v>5378167</v>
      </c>
    </row>
    <row r="55" spans="1:9" ht="22.5" x14ac:dyDescent="0.25">
      <c r="A55" s="171" t="s">
        <v>33</v>
      </c>
      <c r="B55" s="111" t="s">
        <v>34</v>
      </c>
      <c r="C55" s="57" t="s">
        <v>98</v>
      </c>
      <c r="D55" s="106">
        <v>42586</v>
      </c>
      <c r="E55" s="106">
        <v>43753</v>
      </c>
      <c r="F55" s="159">
        <v>305000</v>
      </c>
    </row>
    <row r="56" spans="1:9" s="23" customFormat="1" ht="36.75" customHeight="1" x14ac:dyDescent="0.25">
      <c r="A56" s="913" t="s">
        <v>35</v>
      </c>
      <c r="B56" s="536" t="s">
        <v>36</v>
      </c>
      <c r="C56" s="363" t="s">
        <v>670</v>
      </c>
      <c r="D56" s="914" t="s">
        <v>340</v>
      </c>
      <c r="E56" s="914"/>
      <c r="F56" s="899">
        <v>83920532.772275597</v>
      </c>
    </row>
    <row r="57" spans="1:9" s="23" customFormat="1" ht="36" customHeight="1" x14ac:dyDescent="0.25">
      <c r="A57" s="913"/>
      <c r="B57" s="536" t="s">
        <v>37</v>
      </c>
      <c r="C57" s="363" t="s">
        <v>671</v>
      </c>
      <c r="D57" s="914" t="s">
        <v>341</v>
      </c>
      <c r="E57" s="914"/>
      <c r="F57" s="915"/>
    </row>
    <row r="58" spans="1:9" s="23" customFormat="1" ht="34.5" customHeight="1" x14ac:dyDescent="0.25">
      <c r="A58" s="913"/>
      <c r="B58" s="536" t="s">
        <v>38</v>
      </c>
      <c r="C58" s="363" t="s">
        <v>672</v>
      </c>
      <c r="D58" s="914" t="s">
        <v>341</v>
      </c>
      <c r="E58" s="914"/>
      <c r="F58" s="915"/>
    </row>
    <row r="59" spans="1:9" s="23" customFormat="1" ht="29.25" customHeight="1" x14ac:dyDescent="0.25">
      <c r="A59" s="913"/>
      <c r="B59" s="536" t="s">
        <v>39</v>
      </c>
      <c r="C59" s="363" t="s">
        <v>673</v>
      </c>
      <c r="D59" s="914" t="s">
        <v>341</v>
      </c>
      <c r="E59" s="914"/>
      <c r="F59" s="915"/>
    </row>
    <row r="60" spans="1:9" ht="22.5" x14ac:dyDescent="0.25">
      <c r="A60" s="874" t="s">
        <v>40</v>
      </c>
      <c r="B60" s="889" t="s">
        <v>36</v>
      </c>
      <c r="C60" s="900" t="s">
        <v>669</v>
      </c>
      <c r="D60" s="456" t="s">
        <v>99</v>
      </c>
      <c r="E60" s="456" t="s">
        <v>342</v>
      </c>
      <c r="F60" s="537">
        <v>89242595.796000287</v>
      </c>
    </row>
    <row r="61" spans="1:9" ht="45" x14ac:dyDescent="0.25">
      <c r="A61" s="875"/>
      <c r="B61" s="891"/>
      <c r="C61" s="902"/>
      <c r="D61" s="456" t="s">
        <v>581</v>
      </c>
      <c r="E61" s="456" t="s">
        <v>674</v>
      </c>
      <c r="F61" s="538">
        <v>42122969.040000029</v>
      </c>
    </row>
    <row r="62" spans="1:9" ht="33" customHeight="1" x14ac:dyDescent="0.25">
      <c r="A62" s="875"/>
      <c r="B62" s="889" t="s">
        <v>37</v>
      </c>
      <c r="C62" s="900" t="s">
        <v>669</v>
      </c>
      <c r="D62" s="456" t="s">
        <v>99</v>
      </c>
      <c r="E62" s="456" t="s">
        <v>343</v>
      </c>
      <c r="F62" s="537">
        <v>8659409.0600000024</v>
      </c>
    </row>
    <row r="63" spans="1:9" ht="31.5" customHeight="1" x14ac:dyDescent="0.25">
      <c r="A63" s="875"/>
      <c r="B63" s="891"/>
      <c r="C63" s="902"/>
      <c r="D63" s="456" t="s">
        <v>397</v>
      </c>
      <c r="E63" s="456" t="s">
        <v>398</v>
      </c>
      <c r="F63" s="537">
        <v>7474021.8200000022</v>
      </c>
      <c r="I63" s="50"/>
    </row>
    <row r="64" spans="1:9" ht="29.25" customHeight="1" x14ac:dyDescent="0.25">
      <c r="A64" s="875"/>
      <c r="B64" s="539" t="s">
        <v>38</v>
      </c>
      <c r="C64" s="540"/>
      <c r="D64" s="541"/>
      <c r="E64" s="541"/>
      <c r="F64" s="541"/>
    </row>
    <row r="65" spans="1:9" ht="33.75" x14ac:dyDescent="0.25">
      <c r="A65" s="875"/>
      <c r="B65" s="536" t="s">
        <v>41</v>
      </c>
      <c r="C65" s="363" t="s">
        <v>675</v>
      </c>
      <c r="D65" s="357" t="s">
        <v>529</v>
      </c>
      <c r="E65" s="357" t="s">
        <v>582</v>
      </c>
      <c r="F65" s="352">
        <v>56484.09</v>
      </c>
    </row>
    <row r="66" spans="1:9" s="23" customFormat="1" ht="67.5" x14ac:dyDescent="0.25">
      <c r="A66" s="875"/>
      <c r="B66" s="903" t="s">
        <v>39</v>
      </c>
      <c r="C66" s="363" t="s">
        <v>676</v>
      </c>
      <c r="D66" s="357" t="s">
        <v>304</v>
      </c>
      <c r="E66" s="357" t="s">
        <v>677</v>
      </c>
      <c r="F66" s="352">
        <v>8843622.4700000025</v>
      </c>
    </row>
    <row r="67" spans="1:9" s="23" customFormat="1" ht="33.75" x14ac:dyDescent="0.25">
      <c r="A67" s="876"/>
      <c r="B67" s="904"/>
      <c r="C67" s="363" t="s">
        <v>678</v>
      </c>
      <c r="D67" s="357" t="s">
        <v>530</v>
      </c>
      <c r="E67" s="357" t="s">
        <v>679</v>
      </c>
      <c r="F67" s="352">
        <v>9999999.9999999907</v>
      </c>
    </row>
    <row r="68" spans="1:9" ht="39" customHeight="1" x14ac:dyDescent="0.25">
      <c r="A68" s="535" t="s">
        <v>45</v>
      </c>
      <c r="B68" s="539" t="s">
        <v>43</v>
      </c>
      <c r="C68" s="363" t="s">
        <v>680</v>
      </c>
      <c r="D68" s="880" t="s">
        <v>344</v>
      </c>
      <c r="E68" s="880"/>
      <c r="F68" s="899">
        <v>22500000.000000004</v>
      </c>
    </row>
    <row r="69" spans="1:9" ht="39" customHeight="1" x14ac:dyDescent="0.25">
      <c r="A69" s="535" t="s">
        <v>46</v>
      </c>
      <c r="B69" s="539" t="s">
        <v>44</v>
      </c>
      <c r="C69" s="363" t="s">
        <v>680</v>
      </c>
      <c r="D69" s="880" t="s">
        <v>344</v>
      </c>
      <c r="E69" s="880"/>
      <c r="F69" s="899"/>
    </row>
    <row r="70" spans="1:9" ht="30" customHeight="1" x14ac:dyDescent="0.25">
      <c r="A70" s="874" t="s">
        <v>396</v>
      </c>
      <c r="B70" s="877" t="s">
        <v>399</v>
      </c>
      <c r="C70" s="900" t="s">
        <v>669</v>
      </c>
      <c r="D70" s="357" t="s">
        <v>400</v>
      </c>
      <c r="E70" s="456" t="s">
        <v>401</v>
      </c>
      <c r="F70" s="361">
        <v>9710369.4399999976</v>
      </c>
      <c r="I70" s="50"/>
    </row>
    <row r="71" spans="1:9" ht="22.5" x14ac:dyDescent="0.25">
      <c r="A71" s="875"/>
      <c r="B71" s="878"/>
      <c r="C71" s="901"/>
      <c r="D71" s="357" t="s">
        <v>402</v>
      </c>
      <c r="E71" s="456" t="s">
        <v>403</v>
      </c>
      <c r="F71" s="361">
        <v>3279406.8595000003</v>
      </c>
      <c r="I71" s="50"/>
    </row>
    <row r="72" spans="1:9" ht="22.5" x14ac:dyDescent="0.25">
      <c r="A72" s="875"/>
      <c r="B72" s="878"/>
      <c r="C72" s="901"/>
      <c r="D72" s="357" t="s">
        <v>404</v>
      </c>
      <c r="E72" s="456" t="s">
        <v>405</v>
      </c>
      <c r="F72" s="361">
        <v>33163222.053500004</v>
      </c>
      <c r="I72" s="50"/>
    </row>
    <row r="73" spans="1:9" ht="56.25" x14ac:dyDescent="0.25">
      <c r="A73" s="875"/>
      <c r="B73" s="878"/>
      <c r="C73" s="901"/>
      <c r="D73" s="357" t="s">
        <v>406</v>
      </c>
      <c r="E73" s="456" t="s">
        <v>681</v>
      </c>
      <c r="F73" s="361">
        <v>9481523.3694999963</v>
      </c>
    </row>
    <row r="74" spans="1:9" ht="45" x14ac:dyDescent="0.25">
      <c r="A74" s="875"/>
      <c r="B74" s="878"/>
      <c r="C74" s="901"/>
      <c r="D74" s="357" t="s">
        <v>407</v>
      </c>
      <c r="E74" s="456" t="s">
        <v>568</v>
      </c>
      <c r="F74" s="361">
        <v>8568265.055499997</v>
      </c>
    </row>
    <row r="75" spans="1:9" ht="45" x14ac:dyDescent="0.25">
      <c r="A75" s="875"/>
      <c r="B75" s="878"/>
      <c r="C75" s="901"/>
      <c r="D75" s="357" t="s">
        <v>408</v>
      </c>
      <c r="E75" s="456" t="s">
        <v>682</v>
      </c>
      <c r="F75" s="361">
        <v>6823692.1500000041</v>
      </c>
    </row>
    <row r="76" spans="1:9" ht="45" x14ac:dyDescent="0.25">
      <c r="A76" s="876"/>
      <c r="B76" s="879"/>
      <c r="C76" s="902"/>
      <c r="D76" s="357" t="s">
        <v>519</v>
      </c>
      <c r="E76" s="456" t="s">
        <v>683</v>
      </c>
      <c r="F76" s="361">
        <v>3521475.2</v>
      </c>
    </row>
    <row r="77" spans="1:9" x14ac:dyDescent="0.25">
      <c r="A77" s="896" t="s">
        <v>47</v>
      </c>
      <c r="B77" s="897" t="s">
        <v>48</v>
      </c>
      <c r="C77" s="377" t="s">
        <v>100</v>
      </c>
      <c r="D77" s="880" t="s">
        <v>345</v>
      </c>
      <c r="E77" s="880"/>
      <c r="F77" s="361">
        <v>1546988.40999987</v>
      </c>
    </row>
    <row r="78" spans="1:9" ht="21" customHeight="1" x14ac:dyDescent="0.25">
      <c r="A78" s="896"/>
      <c r="B78" s="897"/>
      <c r="C78" s="898" t="s">
        <v>669</v>
      </c>
      <c r="D78" s="880" t="s">
        <v>520</v>
      </c>
      <c r="E78" s="880"/>
      <c r="F78" s="884">
        <v>390840229.39097428</v>
      </c>
    </row>
    <row r="79" spans="1:9" ht="21" customHeight="1" x14ac:dyDescent="0.25">
      <c r="A79" s="896"/>
      <c r="B79" s="897"/>
      <c r="C79" s="898"/>
      <c r="D79" s="880"/>
      <c r="E79" s="880"/>
      <c r="F79" s="885"/>
    </row>
    <row r="80" spans="1:9" ht="21" customHeight="1" x14ac:dyDescent="0.25">
      <c r="A80" s="373" t="s">
        <v>622</v>
      </c>
      <c r="B80" s="374" t="s">
        <v>120</v>
      </c>
      <c r="C80" s="377" t="s">
        <v>669</v>
      </c>
      <c r="D80" s="887" t="s">
        <v>624</v>
      </c>
      <c r="E80" s="888"/>
      <c r="F80" s="885"/>
    </row>
    <row r="81" spans="1:6" ht="33" customHeight="1" x14ac:dyDescent="0.25">
      <c r="A81" s="373" t="s">
        <v>47</v>
      </c>
      <c r="B81" s="374" t="s">
        <v>48</v>
      </c>
      <c r="C81" s="377" t="s">
        <v>669</v>
      </c>
      <c r="D81" s="887" t="s">
        <v>684</v>
      </c>
      <c r="E81" s="888"/>
      <c r="F81" s="886"/>
    </row>
    <row r="82" spans="1:6" ht="15" customHeight="1" x14ac:dyDescent="0.25">
      <c r="A82" s="874" t="s">
        <v>49</v>
      </c>
      <c r="B82" s="889" t="s">
        <v>50</v>
      </c>
      <c r="C82" s="377" t="s">
        <v>100</v>
      </c>
      <c r="D82" s="880" t="s">
        <v>101</v>
      </c>
      <c r="E82" s="880"/>
      <c r="F82" s="361">
        <v>32588366.609999999</v>
      </c>
    </row>
    <row r="83" spans="1:6" ht="20.25" customHeight="1" x14ac:dyDescent="0.25">
      <c r="A83" s="875"/>
      <c r="B83" s="890"/>
      <c r="C83" s="881" t="s">
        <v>685</v>
      </c>
      <c r="D83" s="892" t="s">
        <v>686</v>
      </c>
      <c r="E83" s="893"/>
      <c r="F83" s="884">
        <v>313416830.69199938</v>
      </c>
    </row>
    <row r="84" spans="1:6" ht="31.5" customHeight="1" x14ac:dyDescent="0.25">
      <c r="A84" s="876"/>
      <c r="B84" s="891"/>
      <c r="C84" s="883"/>
      <c r="D84" s="894"/>
      <c r="E84" s="895"/>
      <c r="F84" s="886"/>
    </row>
    <row r="85" spans="1:6" ht="26.25" customHeight="1" x14ac:dyDescent="0.25">
      <c r="A85" s="874" t="s">
        <v>51</v>
      </c>
      <c r="B85" s="877" t="s">
        <v>52</v>
      </c>
      <c r="C85" s="377" t="s">
        <v>687</v>
      </c>
      <c r="D85" s="880" t="s">
        <v>101</v>
      </c>
      <c r="E85" s="880"/>
      <c r="F85" s="352">
        <v>317071.90000000002</v>
      </c>
    </row>
    <row r="86" spans="1:6" ht="22.5" x14ac:dyDescent="0.25">
      <c r="A86" s="875"/>
      <c r="B86" s="878"/>
      <c r="C86" s="881" t="s">
        <v>669</v>
      </c>
      <c r="D86" s="456" t="s">
        <v>283</v>
      </c>
      <c r="E86" s="456" t="s">
        <v>343</v>
      </c>
      <c r="F86" s="352">
        <v>3879265</v>
      </c>
    </row>
    <row r="87" spans="1:6" ht="33.75" x14ac:dyDescent="0.25">
      <c r="A87" s="875"/>
      <c r="B87" s="878"/>
      <c r="C87" s="882"/>
      <c r="D87" s="357" t="s">
        <v>409</v>
      </c>
      <c r="E87" s="456" t="s">
        <v>346</v>
      </c>
      <c r="F87" s="352">
        <v>1356005</v>
      </c>
    </row>
    <row r="88" spans="1:6" ht="33.75" x14ac:dyDescent="0.25">
      <c r="A88" s="876"/>
      <c r="B88" s="879"/>
      <c r="C88" s="883"/>
      <c r="D88" s="357" t="s">
        <v>410</v>
      </c>
      <c r="E88" s="456" t="s">
        <v>411</v>
      </c>
      <c r="F88" s="352">
        <v>1750000</v>
      </c>
    </row>
    <row r="89" spans="1:6" x14ac:dyDescent="0.25">
      <c r="A89" s="907" t="s">
        <v>53</v>
      </c>
      <c r="B89" s="908" t="s">
        <v>54</v>
      </c>
      <c r="C89" s="57" t="s">
        <v>102</v>
      </c>
      <c r="D89" s="106">
        <v>42909</v>
      </c>
      <c r="E89" s="106">
        <v>42993</v>
      </c>
      <c r="F89" s="159">
        <v>935530.42</v>
      </c>
    </row>
    <row r="90" spans="1:6" x14ac:dyDescent="0.25">
      <c r="A90" s="907"/>
      <c r="B90" s="908"/>
      <c r="C90" s="57" t="s">
        <v>246</v>
      </c>
      <c r="D90" s="106">
        <v>43818</v>
      </c>
      <c r="E90" s="106">
        <v>44151</v>
      </c>
      <c r="F90" s="159">
        <v>9907279</v>
      </c>
    </row>
    <row r="91" spans="1:6" ht="33.75" x14ac:dyDescent="0.25">
      <c r="A91" s="171" t="s">
        <v>55</v>
      </c>
      <c r="B91" s="111" t="s">
        <v>56</v>
      </c>
      <c r="C91" s="57" t="s">
        <v>103</v>
      </c>
      <c r="D91" s="106">
        <v>43307.000706018516</v>
      </c>
      <c r="E91" s="106">
        <v>43448.999988425923</v>
      </c>
      <c r="F91" s="159">
        <v>8670000</v>
      </c>
    </row>
    <row r="92" spans="1:6" x14ac:dyDescent="0.25">
      <c r="A92" s="171" t="s">
        <v>57</v>
      </c>
      <c r="B92" s="111" t="s">
        <v>58</v>
      </c>
      <c r="C92" s="57" t="s">
        <v>104</v>
      </c>
      <c r="D92" s="106">
        <v>43236.000011574077</v>
      </c>
      <c r="E92" s="106">
        <v>43395.999988425923</v>
      </c>
      <c r="F92" s="159">
        <v>3020000</v>
      </c>
    </row>
    <row r="93" spans="1:6" ht="33.75" x14ac:dyDescent="0.25">
      <c r="A93" s="171" t="s">
        <v>59</v>
      </c>
      <c r="B93" s="111" t="s">
        <v>60</v>
      </c>
      <c r="C93" s="57" t="s">
        <v>105</v>
      </c>
      <c r="D93" s="106">
        <v>43525.000706018516</v>
      </c>
      <c r="E93" s="106">
        <v>43769.999988425923</v>
      </c>
      <c r="F93" s="159">
        <v>1880000</v>
      </c>
    </row>
    <row r="94" spans="1:6" ht="22.5" x14ac:dyDescent="0.25">
      <c r="A94" s="171" t="s">
        <v>61</v>
      </c>
      <c r="B94" s="111" t="s">
        <v>62</v>
      </c>
      <c r="C94" s="57" t="s">
        <v>106</v>
      </c>
      <c r="D94" s="106">
        <v>42767</v>
      </c>
      <c r="E94" s="106">
        <v>43008</v>
      </c>
      <c r="F94" s="159">
        <v>2150000</v>
      </c>
    </row>
    <row r="95" spans="1:6" ht="22.5" x14ac:dyDescent="0.25">
      <c r="A95" s="171" t="s">
        <v>63</v>
      </c>
      <c r="B95" s="111" t="s">
        <v>64</v>
      </c>
      <c r="C95" s="57" t="s">
        <v>107</v>
      </c>
      <c r="D95" s="106">
        <v>43096</v>
      </c>
      <c r="E95" s="106">
        <v>43251</v>
      </c>
      <c r="F95" s="159">
        <v>1050000</v>
      </c>
    </row>
    <row r="96" spans="1:6" x14ac:dyDescent="0.25">
      <c r="A96" s="171" t="s">
        <v>65</v>
      </c>
      <c r="B96" s="111" t="s">
        <v>66</v>
      </c>
      <c r="C96" s="57" t="s">
        <v>108</v>
      </c>
      <c r="D96" s="106">
        <v>42810.000011574077</v>
      </c>
      <c r="E96" s="106">
        <v>43069.999988425923</v>
      </c>
      <c r="F96" s="108">
        <v>725817</v>
      </c>
    </row>
    <row r="97" spans="1:6" x14ac:dyDescent="0.25">
      <c r="A97" s="280" t="s">
        <v>67</v>
      </c>
      <c r="B97" s="111" t="s">
        <v>68</v>
      </c>
      <c r="C97" s="57" t="s">
        <v>267</v>
      </c>
      <c r="D97" s="106">
        <v>43067.000011574077</v>
      </c>
      <c r="E97" s="106">
        <v>43861</v>
      </c>
      <c r="F97" s="159">
        <v>64000000</v>
      </c>
    </row>
    <row r="98" spans="1:6" ht="33.75" x14ac:dyDescent="0.25">
      <c r="A98" s="171" t="s">
        <v>69</v>
      </c>
      <c r="B98" s="111" t="s">
        <v>70</v>
      </c>
      <c r="C98" s="57" t="s">
        <v>110</v>
      </c>
      <c r="D98" s="106">
        <v>43073.000011574077</v>
      </c>
      <c r="E98" s="106">
        <v>43251</v>
      </c>
      <c r="F98" s="159">
        <v>2391596</v>
      </c>
    </row>
    <row r="99" spans="1:6" ht="22.5" x14ac:dyDescent="0.25">
      <c r="A99" s="171" t="s">
        <v>71</v>
      </c>
      <c r="B99" s="111" t="s">
        <v>72</v>
      </c>
      <c r="C99" s="57" t="s">
        <v>111</v>
      </c>
      <c r="D99" s="106">
        <v>43053.000694444447</v>
      </c>
      <c r="E99" s="106">
        <v>43374.999988425923</v>
      </c>
      <c r="F99" s="246">
        <v>10000000</v>
      </c>
    </row>
    <row r="100" spans="1:6" ht="34.5" x14ac:dyDescent="0.25">
      <c r="A100" s="171" t="s">
        <v>315</v>
      </c>
      <c r="B100" s="289" t="s">
        <v>385</v>
      </c>
      <c r="C100" s="57" t="s">
        <v>313</v>
      </c>
      <c r="D100" s="106">
        <v>44102</v>
      </c>
      <c r="E100" s="106">
        <v>44141</v>
      </c>
      <c r="F100" s="246">
        <v>4000000</v>
      </c>
    </row>
    <row r="101" spans="1:6" x14ac:dyDescent="0.25">
      <c r="A101" s="905" t="s">
        <v>128</v>
      </c>
      <c r="B101" s="905"/>
      <c r="C101" s="905"/>
      <c r="D101" s="905"/>
      <c r="E101" s="905"/>
      <c r="F101" s="186">
        <f>SUM(F3:F100)</f>
        <v>1754018913.6529405</v>
      </c>
    </row>
    <row r="102" spans="1:6" ht="48.75" customHeight="1" x14ac:dyDescent="0.25">
      <c r="A102" s="906" t="s">
        <v>692</v>
      </c>
      <c r="B102" s="906"/>
      <c r="C102" s="906"/>
      <c r="D102" s="906"/>
      <c r="E102" s="906"/>
      <c r="F102" s="906"/>
    </row>
  </sheetData>
  <mergeCells count="67">
    <mergeCell ref="A1:F1"/>
    <mergeCell ref="A4:A5"/>
    <mergeCell ref="B4:B5"/>
    <mergeCell ref="A6:A18"/>
    <mergeCell ref="B6:B13"/>
    <mergeCell ref="C6:C13"/>
    <mergeCell ref="F6:F13"/>
    <mergeCell ref="B14:B18"/>
    <mergeCell ref="C14:C16"/>
    <mergeCell ref="F14:F16"/>
    <mergeCell ref="C42:C43"/>
    <mergeCell ref="F17:F18"/>
    <mergeCell ref="A19:A32"/>
    <mergeCell ref="B19:B25"/>
    <mergeCell ref="F24:F25"/>
    <mergeCell ref="B26:B29"/>
    <mergeCell ref="F28:F29"/>
    <mergeCell ref="B31:B32"/>
    <mergeCell ref="A33:A37"/>
    <mergeCell ref="B33:B34"/>
    <mergeCell ref="A38:A44"/>
    <mergeCell ref="B38:B40"/>
    <mergeCell ref="B42:B43"/>
    <mergeCell ref="A101:E101"/>
    <mergeCell ref="A102:F102"/>
    <mergeCell ref="A89:A90"/>
    <mergeCell ref="B89:B90"/>
    <mergeCell ref="A45:A51"/>
    <mergeCell ref="B46:B47"/>
    <mergeCell ref="F46:F47"/>
    <mergeCell ref="A52:A54"/>
    <mergeCell ref="A56:A59"/>
    <mergeCell ref="D56:E56"/>
    <mergeCell ref="F56:F59"/>
    <mergeCell ref="D57:E57"/>
    <mergeCell ref="D58:E58"/>
    <mergeCell ref="D59:E59"/>
    <mergeCell ref="A70:A76"/>
    <mergeCell ref="B70:B76"/>
    <mergeCell ref="A60:A67"/>
    <mergeCell ref="B60:B61"/>
    <mergeCell ref="C60:C61"/>
    <mergeCell ref="B62:B63"/>
    <mergeCell ref="C62:C63"/>
    <mergeCell ref="B66:B67"/>
    <mergeCell ref="C78:C79"/>
    <mergeCell ref="D78:E79"/>
    <mergeCell ref="D68:E68"/>
    <mergeCell ref="F68:F69"/>
    <mergeCell ref="D69:E69"/>
    <mergeCell ref="C70:C76"/>
    <mergeCell ref="A85:A88"/>
    <mergeCell ref="B85:B88"/>
    <mergeCell ref="D85:E85"/>
    <mergeCell ref="C86:C88"/>
    <mergeCell ref="F78:F81"/>
    <mergeCell ref="D80:E80"/>
    <mergeCell ref="D81:E81"/>
    <mergeCell ref="A82:A84"/>
    <mergeCell ref="B82:B84"/>
    <mergeCell ref="D82:E82"/>
    <mergeCell ref="C83:C84"/>
    <mergeCell ref="D83:E84"/>
    <mergeCell ref="F83:F84"/>
    <mergeCell ref="A77:A79"/>
    <mergeCell ref="B77:B79"/>
    <mergeCell ref="D77:E77"/>
  </mergeCells>
  <printOptions horizontalCentered="1"/>
  <pageMargins left="0.59055118110236227" right="0.59055118110236227" top="0.78740157480314965" bottom="0.78740157480314965" header="0.31496062992125984" footer="0.31496062992125984"/>
  <pageSetup paperSize="9" scale="65" orientation="portrait" r:id="rId1"/>
  <rowBreaks count="2" manualBreakCount="2">
    <brk id="51" max="5" man="1"/>
    <brk id="76"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40"/>
  <sheetViews>
    <sheetView view="pageBreakPreview" zoomScaleNormal="85" zoomScaleSheetLayoutView="100" zoomScalePageLayoutView="40" workbookViewId="0">
      <selection activeCell="A2" sqref="A2"/>
    </sheetView>
  </sheetViews>
  <sheetFormatPr defaultRowHeight="15" x14ac:dyDescent="0.25"/>
  <cols>
    <col min="1" max="1" width="12.85546875" customWidth="1"/>
    <col min="2" max="2" width="7.28515625" customWidth="1"/>
    <col min="3" max="3" width="31.140625" customWidth="1"/>
    <col min="4" max="4" width="10.5703125" bestFit="1" customWidth="1"/>
    <col min="5" max="5" width="12.42578125" customWidth="1"/>
    <col min="6" max="6" width="10.140625" customWidth="1"/>
    <col min="7" max="7" width="13.7109375" style="185" customWidth="1"/>
  </cols>
  <sheetData>
    <row r="1" spans="1:7" ht="29.45" customHeight="1" x14ac:dyDescent="0.25">
      <c r="A1" s="920" t="s">
        <v>771</v>
      </c>
      <c r="B1" s="920"/>
      <c r="C1" s="920"/>
      <c r="D1" s="920"/>
      <c r="E1" s="920"/>
      <c r="F1" s="920"/>
      <c r="G1" s="920"/>
    </row>
    <row r="2" spans="1:7" ht="45" x14ac:dyDescent="0.25">
      <c r="A2" s="501" t="s">
        <v>297</v>
      </c>
      <c r="B2" s="195" t="s">
        <v>347</v>
      </c>
      <c r="C2" s="195" t="s">
        <v>156</v>
      </c>
      <c r="D2" s="195" t="s">
        <v>298</v>
      </c>
      <c r="E2" s="195" t="s">
        <v>382</v>
      </c>
      <c r="F2" s="195" t="s">
        <v>158</v>
      </c>
      <c r="G2" s="161" t="s">
        <v>596</v>
      </c>
    </row>
    <row r="3" spans="1:7" s="23" customFormat="1" ht="22.5" x14ac:dyDescent="0.25">
      <c r="A3" s="923" t="s">
        <v>323</v>
      </c>
      <c r="B3" s="357" t="s">
        <v>539</v>
      </c>
      <c r="C3" s="355" t="s">
        <v>324</v>
      </c>
      <c r="D3" s="356">
        <v>50221</v>
      </c>
      <c r="E3" s="360">
        <v>44102</v>
      </c>
      <c r="F3" s="343">
        <v>44407</v>
      </c>
      <c r="G3" s="502">
        <v>342211.46</v>
      </c>
    </row>
    <row r="4" spans="1:7" s="23" customFormat="1" ht="22.5" x14ac:dyDescent="0.25">
      <c r="A4" s="923"/>
      <c r="B4" s="357" t="s">
        <v>242</v>
      </c>
      <c r="C4" s="355" t="s">
        <v>325</v>
      </c>
      <c r="D4" s="356">
        <v>48963</v>
      </c>
      <c r="E4" s="360">
        <v>44102</v>
      </c>
      <c r="F4" s="343">
        <v>44267</v>
      </c>
      <c r="G4" s="502">
        <v>615000</v>
      </c>
    </row>
    <row r="5" spans="1:7" s="23" customFormat="1" ht="22.5" x14ac:dyDescent="0.25">
      <c r="A5" s="923"/>
      <c r="B5" s="357" t="s">
        <v>538</v>
      </c>
      <c r="C5" s="355" t="s">
        <v>373</v>
      </c>
      <c r="D5" s="356">
        <v>51822</v>
      </c>
      <c r="E5" s="360">
        <v>44182</v>
      </c>
      <c r="F5" s="343">
        <v>44407</v>
      </c>
      <c r="G5" s="502">
        <v>103091.44</v>
      </c>
    </row>
    <row r="6" spans="1:7" s="23" customFormat="1" ht="33.75" x14ac:dyDescent="0.25">
      <c r="A6" s="923"/>
      <c r="B6" s="357" t="s">
        <v>538</v>
      </c>
      <c r="C6" s="355" t="s">
        <v>372</v>
      </c>
      <c r="D6" s="356">
        <v>51804</v>
      </c>
      <c r="E6" s="360">
        <v>44207</v>
      </c>
      <c r="F6" s="343">
        <v>44407</v>
      </c>
      <c r="G6" s="502">
        <v>1636411.71</v>
      </c>
    </row>
    <row r="7" spans="1:7" s="23" customFormat="1" ht="33.75" x14ac:dyDescent="0.25">
      <c r="A7" s="923"/>
      <c r="B7" s="357" t="s">
        <v>245</v>
      </c>
      <c r="C7" s="503" t="s">
        <v>465</v>
      </c>
      <c r="D7" s="356">
        <v>67701</v>
      </c>
      <c r="E7" s="360">
        <v>44809</v>
      </c>
      <c r="F7" s="343">
        <v>44914</v>
      </c>
      <c r="G7" s="504">
        <v>599317.88</v>
      </c>
    </row>
    <row r="8" spans="1:7" s="23" customFormat="1" ht="45" x14ac:dyDescent="0.25">
      <c r="A8" s="923"/>
      <c r="B8" s="357" t="s">
        <v>275</v>
      </c>
      <c r="C8" s="355" t="s">
        <v>550</v>
      </c>
      <c r="D8" s="356">
        <v>72452</v>
      </c>
      <c r="E8" s="360">
        <v>45054</v>
      </c>
      <c r="F8" s="360">
        <v>45206</v>
      </c>
      <c r="G8" s="502">
        <v>744079.99</v>
      </c>
    </row>
    <row r="9" spans="1:7" s="23" customFormat="1" ht="67.5" x14ac:dyDescent="0.25">
      <c r="A9" s="923"/>
      <c r="B9" s="357" t="s">
        <v>273</v>
      </c>
      <c r="C9" s="503" t="s">
        <v>713</v>
      </c>
      <c r="D9" s="356">
        <v>87864</v>
      </c>
      <c r="E9" s="360">
        <v>45846</v>
      </c>
      <c r="F9" s="343">
        <v>45876</v>
      </c>
      <c r="G9" s="504">
        <v>498716.15</v>
      </c>
    </row>
    <row r="10" spans="1:7" s="23" customFormat="1" x14ac:dyDescent="0.25">
      <c r="A10" s="923" t="s">
        <v>237</v>
      </c>
      <c r="B10" s="357" t="s">
        <v>238</v>
      </c>
      <c r="C10" s="355" t="s">
        <v>239</v>
      </c>
      <c r="D10" s="356">
        <v>19241</v>
      </c>
      <c r="E10" s="360">
        <v>43395</v>
      </c>
      <c r="F10" s="343">
        <v>43444</v>
      </c>
      <c r="G10" s="502">
        <v>389069.74000000005</v>
      </c>
    </row>
    <row r="11" spans="1:7" s="23" customFormat="1" ht="33.75" x14ac:dyDescent="0.25">
      <c r="A11" s="923"/>
      <c r="B11" s="357" t="s">
        <v>482</v>
      </c>
      <c r="C11" s="355" t="s">
        <v>240</v>
      </c>
      <c r="D11" s="356">
        <v>25782</v>
      </c>
      <c r="E11" s="360">
        <v>43584</v>
      </c>
      <c r="F11" s="343">
        <v>43614</v>
      </c>
      <c r="G11" s="502">
        <v>194408.02</v>
      </c>
    </row>
    <row r="12" spans="1:7" s="23" customFormat="1" ht="22.5" x14ac:dyDescent="0.25">
      <c r="A12" s="923"/>
      <c r="B12" s="357" t="s">
        <v>242</v>
      </c>
      <c r="C12" s="355" t="s">
        <v>561</v>
      </c>
      <c r="D12" s="356">
        <v>36943</v>
      </c>
      <c r="E12" s="360">
        <v>43770</v>
      </c>
      <c r="F12" s="343">
        <v>43843</v>
      </c>
      <c r="G12" s="502">
        <v>280000</v>
      </c>
    </row>
    <row r="13" spans="1:7" s="23" customFormat="1" ht="22.5" x14ac:dyDescent="0.25">
      <c r="A13" s="923"/>
      <c r="B13" s="357" t="s">
        <v>538</v>
      </c>
      <c r="C13" s="355" t="s">
        <v>424</v>
      </c>
      <c r="D13" s="356">
        <v>37121</v>
      </c>
      <c r="E13" s="360">
        <v>43770</v>
      </c>
      <c r="F13" s="343">
        <v>43843</v>
      </c>
      <c r="G13" s="502">
        <v>111377.68</v>
      </c>
    </row>
    <row r="14" spans="1:7" s="23" customFormat="1" x14ac:dyDescent="0.25">
      <c r="A14" s="923"/>
      <c r="B14" s="357" t="s">
        <v>482</v>
      </c>
      <c r="C14" s="355" t="s">
        <v>333</v>
      </c>
      <c r="D14" s="356">
        <v>47983</v>
      </c>
      <c r="E14" s="360">
        <v>44028</v>
      </c>
      <c r="F14" s="343">
        <v>44245</v>
      </c>
      <c r="G14" s="502">
        <v>42853.57</v>
      </c>
    </row>
    <row r="15" spans="1:7" s="23" customFormat="1" ht="33.75" x14ac:dyDescent="0.25">
      <c r="A15" s="923"/>
      <c r="B15" s="357" t="s">
        <v>482</v>
      </c>
      <c r="C15" s="355" t="s">
        <v>240</v>
      </c>
      <c r="D15" s="356">
        <v>53003</v>
      </c>
      <c r="E15" s="360">
        <v>44235</v>
      </c>
      <c r="F15" s="343">
        <v>44496</v>
      </c>
      <c r="G15" s="502">
        <v>159285</v>
      </c>
    </row>
    <row r="16" spans="1:7" s="23" customFormat="1" ht="22.5" x14ac:dyDescent="0.25">
      <c r="A16" s="923"/>
      <c r="B16" s="357" t="s">
        <v>242</v>
      </c>
      <c r="C16" s="355" t="s">
        <v>425</v>
      </c>
      <c r="D16" s="356">
        <v>60203</v>
      </c>
      <c r="E16" s="360">
        <v>44498</v>
      </c>
      <c r="F16" s="343">
        <v>44651</v>
      </c>
      <c r="G16" s="502">
        <v>315000</v>
      </c>
    </row>
    <row r="17" spans="1:7" s="23" customFormat="1" ht="22.5" x14ac:dyDescent="0.25">
      <c r="A17" s="923"/>
      <c r="B17" s="357" t="s">
        <v>538</v>
      </c>
      <c r="C17" s="355" t="s">
        <v>467</v>
      </c>
      <c r="D17" s="356">
        <v>60861</v>
      </c>
      <c r="E17" s="360">
        <v>44509</v>
      </c>
      <c r="F17" s="343">
        <v>44651</v>
      </c>
      <c r="G17" s="502">
        <v>319449.98</v>
      </c>
    </row>
    <row r="18" spans="1:7" s="23" customFormat="1" ht="33.75" x14ac:dyDescent="0.25">
      <c r="A18" s="923"/>
      <c r="B18" s="357" t="s">
        <v>151</v>
      </c>
      <c r="C18" s="355" t="s">
        <v>422</v>
      </c>
      <c r="D18" s="356">
        <v>69945</v>
      </c>
      <c r="E18" s="360">
        <v>44502</v>
      </c>
      <c r="F18" s="343">
        <v>44651</v>
      </c>
      <c r="G18" s="502">
        <v>200000</v>
      </c>
    </row>
    <row r="19" spans="1:7" s="23" customFormat="1" ht="22.5" x14ac:dyDescent="0.25">
      <c r="A19" s="923"/>
      <c r="B19" s="357" t="s">
        <v>238</v>
      </c>
      <c r="C19" s="355" t="s">
        <v>560</v>
      </c>
      <c r="D19" s="356">
        <v>74183</v>
      </c>
      <c r="E19" s="360">
        <v>45092</v>
      </c>
      <c r="F19" s="360">
        <v>45122</v>
      </c>
      <c r="G19" s="502">
        <v>697966</v>
      </c>
    </row>
    <row r="20" spans="1:7" s="23" customFormat="1" x14ac:dyDescent="0.25">
      <c r="A20" s="923"/>
      <c r="B20" s="357" t="s">
        <v>482</v>
      </c>
      <c r="C20" s="355" t="s">
        <v>333</v>
      </c>
      <c r="D20" s="356">
        <v>74223</v>
      </c>
      <c r="E20" s="360">
        <v>45092</v>
      </c>
      <c r="F20" s="360">
        <v>45122</v>
      </c>
      <c r="G20" s="502">
        <v>103182.91</v>
      </c>
    </row>
    <row r="21" spans="1:7" s="23" customFormat="1" ht="22.5" x14ac:dyDescent="0.25">
      <c r="A21" s="923"/>
      <c r="B21" s="357" t="s">
        <v>275</v>
      </c>
      <c r="C21" s="355" t="s">
        <v>426</v>
      </c>
      <c r="D21" s="356">
        <v>75641</v>
      </c>
      <c r="E21" s="360">
        <v>45176</v>
      </c>
      <c r="F21" s="360">
        <v>45229</v>
      </c>
      <c r="G21" s="502">
        <v>341238.83999999997</v>
      </c>
    </row>
    <row r="22" spans="1:7" s="23" customFormat="1" ht="22.5" x14ac:dyDescent="0.25">
      <c r="A22" s="923"/>
      <c r="B22" s="357" t="s">
        <v>538</v>
      </c>
      <c r="C22" s="355" t="s">
        <v>424</v>
      </c>
      <c r="D22" s="356">
        <v>76844</v>
      </c>
      <c r="E22" s="360">
        <v>45309.000011574077</v>
      </c>
      <c r="F22" s="360">
        <v>45350.999988425923</v>
      </c>
      <c r="G22" s="502">
        <v>948709.89</v>
      </c>
    </row>
    <row r="23" spans="1:7" s="23" customFormat="1" ht="33.75" x14ac:dyDescent="0.25">
      <c r="A23" s="923" t="s">
        <v>350</v>
      </c>
      <c r="B23" s="357" t="s">
        <v>538</v>
      </c>
      <c r="C23" s="355" t="s">
        <v>451</v>
      </c>
      <c r="D23" s="356">
        <v>36625</v>
      </c>
      <c r="E23" s="360">
        <v>43753</v>
      </c>
      <c r="F23" s="343">
        <v>43889</v>
      </c>
      <c r="G23" s="502">
        <v>525000</v>
      </c>
    </row>
    <row r="24" spans="1:7" s="23" customFormat="1" ht="22.5" x14ac:dyDescent="0.25">
      <c r="A24" s="923"/>
      <c r="B24" s="357" t="s">
        <v>538</v>
      </c>
      <c r="C24" s="355" t="s">
        <v>303</v>
      </c>
      <c r="D24" s="356">
        <v>36664</v>
      </c>
      <c r="E24" s="360">
        <v>43753</v>
      </c>
      <c r="F24" s="343">
        <v>43889</v>
      </c>
      <c r="G24" s="502">
        <v>724017</v>
      </c>
    </row>
    <row r="25" spans="1:7" s="23" customFormat="1" ht="33.75" x14ac:dyDescent="0.25">
      <c r="A25" s="923"/>
      <c r="B25" s="357" t="s">
        <v>55</v>
      </c>
      <c r="C25" s="355" t="s">
        <v>486</v>
      </c>
      <c r="D25" s="356">
        <v>54462</v>
      </c>
      <c r="E25" s="360">
        <v>44589</v>
      </c>
      <c r="F25" s="343">
        <v>44925</v>
      </c>
      <c r="G25" s="502">
        <v>100000</v>
      </c>
    </row>
    <row r="26" spans="1:7" s="23" customFormat="1" ht="45" x14ac:dyDescent="0.25">
      <c r="A26" s="923"/>
      <c r="B26" s="357" t="s">
        <v>55</v>
      </c>
      <c r="C26" s="355" t="s">
        <v>483</v>
      </c>
      <c r="D26" s="356">
        <v>60447</v>
      </c>
      <c r="E26" s="360">
        <v>44589</v>
      </c>
      <c r="F26" s="343">
        <v>44926</v>
      </c>
      <c r="G26" s="502">
        <v>360000</v>
      </c>
    </row>
    <row r="27" spans="1:7" s="23" customFormat="1" ht="33.75" x14ac:dyDescent="0.25">
      <c r="A27" s="923"/>
      <c r="B27" s="357" t="s">
        <v>365</v>
      </c>
      <c r="C27" s="503" t="s">
        <v>521</v>
      </c>
      <c r="D27" s="356">
        <v>67426</v>
      </c>
      <c r="E27" s="360">
        <v>44782</v>
      </c>
      <c r="F27" s="343">
        <v>44865</v>
      </c>
      <c r="G27" s="504">
        <v>280600.58</v>
      </c>
    </row>
    <row r="28" spans="1:7" s="23" customFormat="1" ht="33.75" x14ac:dyDescent="0.25">
      <c r="A28" s="923"/>
      <c r="B28" s="357" t="s">
        <v>538</v>
      </c>
      <c r="C28" s="355" t="s">
        <v>451</v>
      </c>
      <c r="D28" s="356">
        <v>77142</v>
      </c>
      <c r="E28" s="360">
        <v>45309.000011574077</v>
      </c>
      <c r="F28" s="360">
        <v>45376</v>
      </c>
      <c r="G28" s="502">
        <v>210000</v>
      </c>
    </row>
    <row r="29" spans="1:7" s="23" customFormat="1" ht="22.5" x14ac:dyDescent="0.25">
      <c r="A29" s="923"/>
      <c r="B29" s="357" t="s">
        <v>242</v>
      </c>
      <c r="C29" s="355" t="s">
        <v>456</v>
      </c>
      <c r="D29" s="356">
        <v>80328</v>
      </c>
      <c r="E29" s="360">
        <v>45422</v>
      </c>
      <c r="F29" s="360">
        <v>45460</v>
      </c>
      <c r="G29" s="502">
        <v>300000</v>
      </c>
    </row>
    <row r="30" spans="1:7" s="23" customFormat="1" ht="22.5" x14ac:dyDescent="0.25">
      <c r="A30" s="923"/>
      <c r="B30" s="357" t="s">
        <v>273</v>
      </c>
      <c r="C30" s="355" t="s">
        <v>711</v>
      </c>
      <c r="D30" s="356">
        <v>87822</v>
      </c>
      <c r="E30" s="343">
        <v>45835</v>
      </c>
      <c r="F30" s="343">
        <v>45873</v>
      </c>
      <c r="G30" s="506">
        <v>1700000</v>
      </c>
    </row>
    <row r="31" spans="1:7" s="23" customFormat="1" ht="33.75" x14ac:dyDescent="0.25">
      <c r="A31" s="923" t="s">
        <v>316</v>
      </c>
      <c r="B31" s="357" t="s">
        <v>63</v>
      </c>
      <c r="C31" s="355" t="s">
        <v>317</v>
      </c>
      <c r="D31" s="356">
        <v>47743</v>
      </c>
      <c r="E31" s="360">
        <v>44022</v>
      </c>
      <c r="F31" s="343">
        <v>44516</v>
      </c>
      <c r="G31" s="505">
        <v>468525.28</v>
      </c>
    </row>
    <row r="32" spans="1:7" s="23" customFormat="1" ht="45" x14ac:dyDescent="0.25">
      <c r="A32" s="923"/>
      <c r="B32" s="357" t="s">
        <v>538</v>
      </c>
      <c r="C32" s="355" t="s">
        <v>319</v>
      </c>
      <c r="D32" s="356">
        <v>48721</v>
      </c>
      <c r="E32" s="360">
        <v>44043</v>
      </c>
      <c r="F32" s="343">
        <v>44635</v>
      </c>
      <c r="G32" s="502">
        <v>148982.41</v>
      </c>
    </row>
    <row r="33" spans="1:7" s="23" customFormat="1" ht="56.25" x14ac:dyDescent="0.25">
      <c r="A33" s="923"/>
      <c r="B33" s="357" t="s">
        <v>539</v>
      </c>
      <c r="C33" s="355" t="s">
        <v>330</v>
      </c>
      <c r="D33" s="356">
        <v>48802</v>
      </c>
      <c r="E33" s="360">
        <v>44043</v>
      </c>
      <c r="F33" s="343">
        <v>44635</v>
      </c>
      <c r="G33" s="502">
        <v>59856.800000000003</v>
      </c>
    </row>
    <row r="34" spans="1:7" s="23" customFormat="1" ht="22.5" x14ac:dyDescent="0.25">
      <c r="A34" s="923"/>
      <c r="B34" s="357" t="s">
        <v>242</v>
      </c>
      <c r="C34" s="355" t="s">
        <v>331</v>
      </c>
      <c r="D34" s="356">
        <v>50084</v>
      </c>
      <c r="E34" s="360">
        <v>44099</v>
      </c>
      <c r="F34" s="343">
        <v>44635</v>
      </c>
      <c r="G34" s="505">
        <v>0</v>
      </c>
    </row>
    <row r="35" spans="1:7" s="23" customFormat="1" ht="33.75" x14ac:dyDescent="0.25">
      <c r="A35" s="923"/>
      <c r="B35" s="357" t="s">
        <v>538</v>
      </c>
      <c r="C35" s="355" t="s">
        <v>332</v>
      </c>
      <c r="D35" s="356">
        <v>50101</v>
      </c>
      <c r="E35" s="360">
        <v>44099</v>
      </c>
      <c r="F35" s="343">
        <v>44454</v>
      </c>
      <c r="G35" s="505">
        <v>142360.48000000001</v>
      </c>
    </row>
    <row r="36" spans="1:7" s="23" customFormat="1" ht="22.5" x14ac:dyDescent="0.25">
      <c r="A36" s="923"/>
      <c r="B36" s="357" t="s">
        <v>236</v>
      </c>
      <c r="C36" s="355" t="s">
        <v>452</v>
      </c>
      <c r="D36" s="356">
        <v>50564</v>
      </c>
      <c r="E36" s="360">
        <v>44120</v>
      </c>
      <c r="F36" s="343">
        <v>44454</v>
      </c>
      <c r="G36" s="505">
        <v>329770</v>
      </c>
    </row>
    <row r="37" spans="1:7" s="23" customFormat="1" ht="33.75" x14ac:dyDescent="0.25">
      <c r="A37" s="923"/>
      <c r="B37" s="357" t="s">
        <v>275</v>
      </c>
      <c r="C37" s="355" t="s">
        <v>364</v>
      </c>
      <c r="D37" s="356">
        <v>50566</v>
      </c>
      <c r="E37" s="360">
        <v>44120</v>
      </c>
      <c r="F37" s="343">
        <v>44454</v>
      </c>
      <c r="G37" s="505">
        <v>84505</v>
      </c>
    </row>
    <row r="38" spans="1:7" s="23" customFormat="1" ht="22.5" x14ac:dyDescent="0.25">
      <c r="A38" s="923"/>
      <c r="B38" s="357" t="s">
        <v>236</v>
      </c>
      <c r="C38" s="355" t="s">
        <v>420</v>
      </c>
      <c r="D38" s="356">
        <v>52061</v>
      </c>
      <c r="E38" s="360">
        <v>44196</v>
      </c>
      <c r="F38" s="343">
        <v>44635</v>
      </c>
      <c r="G38" s="502">
        <v>133710</v>
      </c>
    </row>
    <row r="39" spans="1:7" s="23" customFormat="1" ht="33.75" x14ac:dyDescent="0.25">
      <c r="A39" s="923"/>
      <c r="B39" s="357" t="s">
        <v>55</v>
      </c>
      <c r="C39" s="355" t="s">
        <v>387</v>
      </c>
      <c r="D39" s="356">
        <v>52042</v>
      </c>
      <c r="E39" s="360">
        <v>44196</v>
      </c>
      <c r="F39" s="343">
        <v>44651</v>
      </c>
      <c r="G39" s="505">
        <v>99812</v>
      </c>
    </row>
    <row r="40" spans="1:7" s="23" customFormat="1" ht="56.25" x14ac:dyDescent="0.25">
      <c r="A40" s="923"/>
      <c r="B40" s="357" t="s">
        <v>151</v>
      </c>
      <c r="C40" s="358" t="s">
        <v>492</v>
      </c>
      <c r="D40" s="356">
        <v>64627</v>
      </c>
      <c r="E40" s="360">
        <v>44522</v>
      </c>
      <c r="F40" s="343">
        <v>44697</v>
      </c>
      <c r="G40" s="505">
        <v>91822.720000000001</v>
      </c>
    </row>
    <row r="41" spans="1:7" s="23" customFormat="1" ht="33.75" x14ac:dyDescent="0.25">
      <c r="A41" s="923"/>
      <c r="B41" s="357" t="s">
        <v>55</v>
      </c>
      <c r="C41" s="355" t="s">
        <v>387</v>
      </c>
      <c r="D41" s="356">
        <v>72464</v>
      </c>
      <c r="E41" s="360">
        <v>45037</v>
      </c>
      <c r="F41" s="343">
        <v>45191</v>
      </c>
      <c r="G41" s="506">
        <v>100000</v>
      </c>
    </row>
    <row r="42" spans="1:7" s="23" customFormat="1" ht="56.25" x14ac:dyDescent="0.25">
      <c r="A42" s="923"/>
      <c r="B42" s="357" t="s">
        <v>245</v>
      </c>
      <c r="C42" s="358" t="s">
        <v>573</v>
      </c>
      <c r="D42" s="356">
        <v>74842</v>
      </c>
      <c r="E42" s="360">
        <v>45138</v>
      </c>
      <c r="F42" s="343">
        <v>45369</v>
      </c>
      <c r="G42" s="502">
        <v>937023.58</v>
      </c>
    </row>
    <row r="43" spans="1:7" s="23" customFormat="1" ht="33.75" x14ac:dyDescent="0.25">
      <c r="A43" s="923"/>
      <c r="B43" s="357" t="s">
        <v>594</v>
      </c>
      <c r="C43" s="355" t="s">
        <v>595</v>
      </c>
      <c r="D43" s="356">
        <v>76761</v>
      </c>
      <c r="E43" s="360">
        <v>45246</v>
      </c>
      <c r="F43" s="343">
        <v>45677</v>
      </c>
      <c r="G43" s="506">
        <v>1054710.6399999999</v>
      </c>
    </row>
    <row r="44" spans="1:7" s="23" customFormat="1" ht="101.25" x14ac:dyDescent="0.25">
      <c r="A44" s="923"/>
      <c r="B44" s="357" t="s">
        <v>273</v>
      </c>
      <c r="C44" s="355" t="s">
        <v>710</v>
      </c>
      <c r="D44" s="356">
        <v>87942</v>
      </c>
      <c r="E44" s="360">
        <v>45853</v>
      </c>
      <c r="F44" s="343">
        <v>45889</v>
      </c>
      <c r="G44" s="506">
        <v>1600000</v>
      </c>
    </row>
    <row r="45" spans="1:7" s="23" customFormat="1" x14ac:dyDescent="0.25">
      <c r="A45" s="923" t="s">
        <v>353</v>
      </c>
      <c r="B45" s="371" t="s">
        <v>538</v>
      </c>
      <c r="C45" s="355" t="s">
        <v>357</v>
      </c>
      <c r="D45" s="356">
        <v>50121</v>
      </c>
      <c r="E45" s="360">
        <v>44150</v>
      </c>
      <c r="F45" s="343">
        <v>44218</v>
      </c>
      <c r="G45" s="505">
        <v>20000</v>
      </c>
    </row>
    <row r="46" spans="1:7" s="23" customFormat="1" ht="22.5" x14ac:dyDescent="0.25">
      <c r="A46" s="923"/>
      <c r="B46" s="371" t="s">
        <v>538</v>
      </c>
      <c r="C46" s="355" t="s">
        <v>358</v>
      </c>
      <c r="D46" s="356">
        <v>50122</v>
      </c>
      <c r="E46" s="360">
        <v>44150</v>
      </c>
      <c r="F46" s="343">
        <v>44218</v>
      </c>
      <c r="G46" s="505">
        <v>0</v>
      </c>
    </row>
    <row r="47" spans="1:7" s="23" customFormat="1" ht="33.75" x14ac:dyDescent="0.25">
      <c r="A47" s="923"/>
      <c r="B47" s="371" t="s">
        <v>538</v>
      </c>
      <c r="C47" s="355" t="s">
        <v>359</v>
      </c>
      <c r="D47" s="356">
        <v>50062</v>
      </c>
      <c r="E47" s="360">
        <v>44150</v>
      </c>
      <c r="F47" s="343">
        <v>44218</v>
      </c>
      <c r="G47" s="505">
        <v>0</v>
      </c>
    </row>
    <row r="48" spans="1:7" s="23" customFormat="1" ht="22.5" x14ac:dyDescent="0.25">
      <c r="A48" s="923"/>
      <c r="B48" s="371" t="s">
        <v>538</v>
      </c>
      <c r="C48" s="355" t="s">
        <v>360</v>
      </c>
      <c r="D48" s="356">
        <v>50063</v>
      </c>
      <c r="E48" s="360">
        <v>44150</v>
      </c>
      <c r="F48" s="343">
        <v>44218</v>
      </c>
      <c r="G48" s="505">
        <v>0</v>
      </c>
    </row>
    <row r="49" spans="1:7" s="23" customFormat="1" x14ac:dyDescent="0.25">
      <c r="A49" s="923"/>
      <c r="B49" s="357" t="s">
        <v>242</v>
      </c>
      <c r="C49" s="355" t="s">
        <v>361</v>
      </c>
      <c r="D49" s="356">
        <v>50061</v>
      </c>
      <c r="E49" s="360">
        <v>44142</v>
      </c>
      <c r="F49" s="343">
        <v>44255</v>
      </c>
      <c r="G49" s="505">
        <f>186000-62000</f>
        <v>124000</v>
      </c>
    </row>
    <row r="50" spans="1:7" s="23" customFormat="1" ht="22.5" x14ac:dyDescent="0.25">
      <c r="A50" s="923"/>
      <c r="B50" s="357" t="s">
        <v>242</v>
      </c>
      <c r="C50" s="355" t="s">
        <v>362</v>
      </c>
      <c r="D50" s="356">
        <v>50083</v>
      </c>
      <c r="E50" s="360">
        <v>44137</v>
      </c>
      <c r="F50" s="343">
        <v>44218</v>
      </c>
      <c r="G50" s="505">
        <v>168000</v>
      </c>
    </row>
    <row r="51" spans="1:7" s="23" customFormat="1" ht="33.75" x14ac:dyDescent="0.25">
      <c r="A51" s="923"/>
      <c r="B51" s="357" t="s">
        <v>365</v>
      </c>
      <c r="C51" s="355" t="s">
        <v>366</v>
      </c>
      <c r="D51" s="356">
        <v>52025</v>
      </c>
      <c r="E51" s="343">
        <v>44175</v>
      </c>
      <c r="F51" s="343">
        <v>44227</v>
      </c>
      <c r="G51" s="505">
        <v>0</v>
      </c>
    </row>
    <row r="52" spans="1:7" s="23" customFormat="1" ht="33.75" x14ac:dyDescent="0.25">
      <c r="A52" s="923"/>
      <c r="B52" s="357" t="s">
        <v>275</v>
      </c>
      <c r="C52" s="355" t="s">
        <v>376</v>
      </c>
      <c r="D52" s="356">
        <v>52062</v>
      </c>
      <c r="E52" s="343">
        <v>44175</v>
      </c>
      <c r="F52" s="343">
        <v>44206</v>
      </c>
      <c r="G52" s="505">
        <v>0</v>
      </c>
    </row>
    <row r="53" spans="1:7" s="23" customFormat="1" x14ac:dyDescent="0.25">
      <c r="A53" s="923"/>
      <c r="B53" s="357" t="s">
        <v>55</v>
      </c>
      <c r="C53" s="355" t="s">
        <v>367</v>
      </c>
      <c r="D53" s="356">
        <v>52022</v>
      </c>
      <c r="E53" s="343">
        <v>44175</v>
      </c>
      <c r="F53" s="343">
        <v>44206</v>
      </c>
      <c r="G53" s="507">
        <v>288000</v>
      </c>
    </row>
    <row r="54" spans="1:7" s="23" customFormat="1" ht="22.5" x14ac:dyDescent="0.25">
      <c r="A54" s="923"/>
      <c r="B54" s="357" t="s">
        <v>151</v>
      </c>
      <c r="C54" s="355" t="s">
        <v>378</v>
      </c>
      <c r="D54" s="356">
        <v>52101</v>
      </c>
      <c r="E54" s="343">
        <v>44175</v>
      </c>
      <c r="F54" s="343">
        <v>44227</v>
      </c>
      <c r="G54" s="505">
        <v>141903.46</v>
      </c>
    </row>
    <row r="55" spans="1:7" s="23" customFormat="1" ht="33.75" x14ac:dyDescent="0.25">
      <c r="A55" s="923"/>
      <c r="B55" s="357" t="s">
        <v>151</v>
      </c>
      <c r="C55" s="355" t="s">
        <v>379</v>
      </c>
      <c r="D55" s="356">
        <v>52081</v>
      </c>
      <c r="E55" s="343">
        <v>44175</v>
      </c>
      <c r="F55" s="343">
        <v>44227</v>
      </c>
      <c r="G55" s="505">
        <v>144000</v>
      </c>
    </row>
    <row r="56" spans="1:7" s="23" customFormat="1" ht="33.75" x14ac:dyDescent="0.25">
      <c r="A56" s="923"/>
      <c r="B56" s="357" t="s">
        <v>151</v>
      </c>
      <c r="C56" s="355" t="s">
        <v>380</v>
      </c>
      <c r="D56" s="356">
        <v>52004</v>
      </c>
      <c r="E56" s="343">
        <v>44175</v>
      </c>
      <c r="F56" s="343">
        <v>44227</v>
      </c>
      <c r="G56" s="505">
        <v>108000</v>
      </c>
    </row>
    <row r="57" spans="1:7" s="23" customFormat="1" x14ac:dyDescent="0.25">
      <c r="A57" s="923"/>
      <c r="B57" s="357" t="s">
        <v>245</v>
      </c>
      <c r="C57" s="355" t="s">
        <v>466</v>
      </c>
      <c r="D57" s="356">
        <v>65341</v>
      </c>
      <c r="E57" s="343">
        <v>44504</v>
      </c>
      <c r="F57" s="343">
        <v>44592</v>
      </c>
      <c r="G57" s="507">
        <v>342942.14</v>
      </c>
    </row>
    <row r="58" spans="1:7" s="23" customFormat="1" ht="33.75" x14ac:dyDescent="0.25">
      <c r="A58" s="923"/>
      <c r="B58" s="357" t="s">
        <v>365</v>
      </c>
      <c r="C58" s="355" t="s">
        <v>366</v>
      </c>
      <c r="D58" s="356">
        <v>65681</v>
      </c>
      <c r="E58" s="360">
        <v>44546</v>
      </c>
      <c r="F58" s="343">
        <v>44732</v>
      </c>
      <c r="G58" s="505">
        <v>67873.960000000006</v>
      </c>
    </row>
    <row r="59" spans="1:7" s="23" customFormat="1" ht="22.5" x14ac:dyDescent="0.25">
      <c r="A59" s="923"/>
      <c r="B59" s="357" t="s">
        <v>245</v>
      </c>
      <c r="C59" s="355" t="s">
        <v>545</v>
      </c>
      <c r="D59" s="356">
        <v>70321</v>
      </c>
      <c r="E59" s="360">
        <v>44945</v>
      </c>
      <c r="F59" s="360">
        <v>45107</v>
      </c>
      <c r="G59" s="505">
        <v>544545.09</v>
      </c>
    </row>
    <row r="60" spans="1:7" s="23" customFormat="1" x14ac:dyDescent="0.25">
      <c r="A60" s="923"/>
      <c r="B60" s="357" t="s">
        <v>242</v>
      </c>
      <c r="C60" s="355" t="s">
        <v>549</v>
      </c>
      <c r="D60" s="356">
        <v>73022</v>
      </c>
      <c r="E60" s="360">
        <v>45050</v>
      </c>
      <c r="F60" s="360">
        <v>45124</v>
      </c>
      <c r="G60" s="505">
        <v>200000</v>
      </c>
    </row>
    <row r="61" spans="1:7" s="23" customFormat="1" ht="22.5" x14ac:dyDescent="0.25">
      <c r="A61" s="923"/>
      <c r="B61" s="357" t="s">
        <v>242</v>
      </c>
      <c r="C61" s="355" t="s">
        <v>551</v>
      </c>
      <c r="D61" s="356">
        <v>73061</v>
      </c>
      <c r="E61" s="360">
        <v>45050</v>
      </c>
      <c r="F61" s="360">
        <v>45124</v>
      </c>
      <c r="G61" s="505">
        <v>200000</v>
      </c>
    </row>
    <row r="62" spans="1:7" s="23" customFormat="1" x14ac:dyDescent="0.25">
      <c r="A62" s="923"/>
      <c r="B62" s="357" t="s">
        <v>242</v>
      </c>
      <c r="C62" s="355" t="s">
        <v>361</v>
      </c>
      <c r="D62" s="356">
        <v>73041</v>
      </c>
      <c r="E62" s="360">
        <v>45050</v>
      </c>
      <c r="F62" s="360">
        <v>45124</v>
      </c>
      <c r="G62" s="505">
        <v>312000</v>
      </c>
    </row>
    <row r="63" spans="1:7" s="23" customFormat="1" ht="22.5" x14ac:dyDescent="0.25">
      <c r="A63" s="923"/>
      <c r="B63" s="371" t="s">
        <v>538</v>
      </c>
      <c r="C63" s="355" t="s">
        <v>570</v>
      </c>
      <c r="D63" s="356">
        <v>75541</v>
      </c>
      <c r="E63" s="360">
        <v>45162</v>
      </c>
      <c r="F63" s="360">
        <v>45260</v>
      </c>
      <c r="G63" s="505">
        <v>309169.91999999998</v>
      </c>
    </row>
    <row r="64" spans="1:7" s="23" customFormat="1" ht="45" x14ac:dyDescent="0.25">
      <c r="A64" s="923"/>
      <c r="B64" s="357" t="s">
        <v>539</v>
      </c>
      <c r="C64" s="355" t="s">
        <v>571</v>
      </c>
      <c r="D64" s="356">
        <v>75542</v>
      </c>
      <c r="E64" s="360">
        <v>45162</v>
      </c>
      <c r="F64" s="360">
        <v>45260</v>
      </c>
      <c r="G64" s="505">
        <v>49493.120000000003</v>
      </c>
    </row>
    <row r="65" spans="1:7" s="23" customFormat="1" ht="22.5" x14ac:dyDescent="0.25">
      <c r="A65" s="923"/>
      <c r="B65" s="371" t="s">
        <v>538</v>
      </c>
      <c r="C65" s="355" t="s">
        <v>587</v>
      </c>
      <c r="D65" s="356">
        <v>76342</v>
      </c>
      <c r="E65" s="360">
        <v>45211</v>
      </c>
      <c r="F65" s="360">
        <v>45290</v>
      </c>
      <c r="G65" s="505">
        <v>496278.95</v>
      </c>
    </row>
    <row r="66" spans="1:7" s="23" customFormat="1" ht="22.5" x14ac:dyDescent="0.25">
      <c r="A66" s="923"/>
      <c r="B66" s="357" t="s">
        <v>275</v>
      </c>
      <c r="C66" s="355" t="s">
        <v>630</v>
      </c>
      <c r="D66" s="356">
        <v>79222</v>
      </c>
      <c r="E66" s="360">
        <v>45372</v>
      </c>
      <c r="F66" s="360">
        <v>45412</v>
      </c>
      <c r="G66" s="507">
        <v>206479.03</v>
      </c>
    </row>
    <row r="67" spans="1:7" s="23" customFormat="1" ht="22.5" x14ac:dyDescent="0.25">
      <c r="A67" s="923"/>
      <c r="B67" s="357" t="s">
        <v>236</v>
      </c>
      <c r="C67" s="355" t="s">
        <v>629</v>
      </c>
      <c r="D67" s="356">
        <v>79842</v>
      </c>
      <c r="E67" s="360">
        <v>45400</v>
      </c>
      <c r="F67" s="360">
        <v>45472</v>
      </c>
      <c r="G67" s="507">
        <v>466408.09</v>
      </c>
    </row>
    <row r="68" spans="1:7" s="23" customFormat="1" ht="22.5" x14ac:dyDescent="0.25">
      <c r="A68" s="923"/>
      <c r="B68" s="357" t="s">
        <v>273</v>
      </c>
      <c r="C68" s="355" t="s">
        <v>711</v>
      </c>
      <c r="D68" s="356">
        <v>87702</v>
      </c>
      <c r="E68" s="360">
        <v>45834</v>
      </c>
      <c r="F68" s="360">
        <v>45870</v>
      </c>
      <c r="G68" s="507">
        <v>718689.19</v>
      </c>
    </row>
    <row r="69" spans="1:7" s="23" customFormat="1" ht="33.75" x14ac:dyDescent="0.25">
      <c r="A69" s="924" t="s">
        <v>351</v>
      </c>
      <c r="B69" s="357" t="s">
        <v>538</v>
      </c>
      <c r="C69" s="355" t="s">
        <v>453</v>
      </c>
      <c r="D69" s="356">
        <v>40581</v>
      </c>
      <c r="E69" s="360">
        <v>43965</v>
      </c>
      <c r="F69" s="343">
        <v>44043</v>
      </c>
      <c r="G69" s="502">
        <v>300000</v>
      </c>
    </row>
    <row r="70" spans="1:7" s="23" customFormat="1" ht="33.75" x14ac:dyDescent="0.25">
      <c r="A70" s="924"/>
      <c r="B70" s="357" t="s">
        <v>538</v>
      </c>
      <c r="C70" s="355" t="s">
        <v>291</v>
      </c>
      <c r="D70" s="356">
        <v>40921</v>
      </c>
      <c r="E70" s="360">
        <v>43965</v>
      </c>
      <c r="F70" s="343">
        <v>44043</v>
      </c>
      <c r="G70" s="502">
        <v>400000</v>
      </c>
    </row>
    <row r="71" spans="1:7" s="23" customFormat="1" ht="45" x14ac:dyDescent="0.25">
      <c r="A71" s="924"/>
      <c r="B71" s="357" t="s">
        <v>538</v>
      </c>
      <c r="C71" s="355" t="s">
        <v>292</v>
      </c>
      <c r="D71" s="356">
        <v>41682</v>
      </c>
      <c r="E71" s="360">
        <v>43965</v>
      </c>
      <c r="F71" s="343">
        <v>44043</v>
      </c>
      <c r="G71" s="502">
        <v>250000</v>
      </c>
    </row>
    <row r="72" spans="1:7" s="23" customFormat="1" ht="45" x14ac:dyDescent="0.25">
      <c r="A72" s="924"/>
      <c r="B72" s="357" t="s">
        <v>538</v>
      </c>
      <c r="C72" s="355" t="s">
        <v>293</v>
      </c>
      <c r="D72" s="356">
        <v>41741</v>
      </c>
      <c r="E72" s="360">
        <v>43965</v>
      </c>
      <c r="F72" s="343">
        <v>44043</v>
      </c>
      <c r="G72" s="502">
        <v>250000</v>
      </c>
    </row>
    <row r="73" spans="1:7" s="23" customFormat="1" ht="78.75" x14ac:dyDescent="0.25">
      <c r="A73" s="924"/>
      <c r="B73" s="357" t="s">
        <v>539</v>
      </c>
      <c r="C73" s="355" t="s">
        <v>454</v>
      </c>
      <c r="D73" s="356">
        <v>41743</v>
      </c>
      <c r="E73" s="360">
        <v>43965</v>
      </c>
      <c r="F73" s="343">
        <v>44043</v>
      </c>
      <c r="G73" s="502">
        <v>300000</v>
      </c>
    </row>
    <row r="74" spans="1:7" s="23" customFormat="1" ht="22.5" x14ac:dyDescent="0.25">
      <c r="A74" s="924"/>
      <c r="B74" s="357" t="s">
        <v>242</v>
      </c>
      <c r="C74" s="355" t="s">
        <v>294</v>
      </c>
      <c r="D74" s="356">
        <v>45502</v>
      </c>
      <c r="E74" s="360">
        <v>43965</v>
      </c>
      <c r="F74" s="343">
        <v>44104</v>
      </c>
      <c r="G74" s="502">
        <v>300000</v>
      </c>
    </row>
    <row r="75" spans="1:7" s="23" customFormat="1" ht="33.75" x14ac:dyDescent="0.25">
      <c r="A75" s="924"/>
      <c r="B75" s="357" t="s">
        <v>242</v>
      </c>
      <c r="C75" s="355" t="s">
        <v>295</v>
      </c>
      <c r="D75" s="356">
        <v>45621</v>
      </c>
      <c r="E75" s="360">
        <v>43965</v>
      </c>
      <c r="F75" s="343">
        <v>44104</v>
      </c>
      <c r="G75" s="502">
        <v>250000</v>
      </c>
    </row>
    <row r="76" spans="1:7" s="23" customFormat="1" ht="123.75" x14ac:dyDescent="0.25">
      <c r="A76" s="924"/>
      <c r="B76" s="357" t="s">
        <v>238</v>
      </c>
      <c r="C76" s="358" t="s">
        <v>473</v>
      </c>
      <c r="D76" s="356">
        <v>63902</v>
      </c>
      <c r="E76" s="360">
        <v>44504</v>
      </c>
      <c r="F76" s="343">
        <v>45000</v>
      </c>
      <c r="G76" s="502">
        <v>800000</v>
      </c>
    </row>
    <row r="77" spans="1:7" s="23" customFormat="1" ht="56.25" x14ac:dyDescent="0.25">
      <c r="A77" s="924"/>
      <c r="B77" s="357" t="s">
        <v>273</v>
      </c>
      <c r="C77" s="355" t="s">
        <v>474</v>
      </c>
      <c r="D77" s="356">
        <v>63861</v>
      </c>
      <c r="E77" s="360">
        <v>44504</v>
      </c>
      <c r="F77" s="343">
        <v>45000</v>
      </c>
      <c r="G77" s="502">
        <v>150000</v>
      </c>
    </row>
    <row r="78" spans="1:7" s="23" customFormat="1" ht="78.75" x14ac:dyDescent="0.25">
      <c r="A78" s="924"/>
      <c r="B78" s="357" t="s">
        <v>245</v>
      </c>
      <c r="C78" s="358" t="s">
        <v>475</v>
      </c>
      <c r="D78" s="356">
        <v>63882</v>
      </c>
      <c r="E78" s="360">
        <v>44504</v>
      </c>
      <c r="F78" s="343">
        <v>45000</v>
      </c>
      <c r="G78" s="502">
        <v>600000</v>
      </c>
    </row>
    <row r="79" spans="1:7" s="23" customFormat="1" ht="90" x14ac:dyDescent="0.25">
      <c r="A79" s="924"/>
      <c r="B79" s="357" t="s">
        <v>245</v>
      </c>
      <c r="C79" s="358" t="s">
        <v>476</v>
      </c>
      <c r="D79" s="356">
        <v>63901</v>
      </c>
      <c r="E79" s="360">
        <v>44504</v>
      </c>
      <c r="F79" s="343">
        <v>45000</v>
      </c>
      <c r="G79" s="502">
        <v>800000</v>
      </c>
    </row>
    <row r="80" spans="1:7" s="23" customFormat="1" ht="33.75" x14ac:dyDescent="0.25">
      <c r="A80" s="924"/>
      <c r="B80" s="357" t="s">
        <v>242</v>
      </c>
      <c r="C80" s="355" t="s">
        <v>563</v>
      </c>
      <c r="D80" s="356">
        <v>74245</v>
      </c>
      <c r="E80" s="343">
        <v>45106</v>
      </c>
      <c r="F80" s="343">
        <v>45327</v>
      </c>
      <c r="G80" s="502">
        <v>326000</v>
      </c>
    </row>
    <row r="81" spans="1:7" s="23" customFormat="1" ht="33.75" x14ac:dyDescent="0.25">
      <c r="A81" s="924"/>
      <c r="B81" s="357" t="s">
        <v>538</v>
      </c>
      <c r="C81" s="355" t="s">
        <v>591</v>
      </c>
      <c r="D81" s="356">
        <v>74381</v>
      </c>
      <c r="E81" s="343">
        <v>45113</v>
      </c>
      <c r="F81" s="343">
        <v>45199.542349537034</v>
      </c>
      <c r="G81" s="502">
        <v>78000</v>
      </c>
    </row>
    <row r="82" spans="1:7" s="23" customFormat="1" ht="33.75" x14ac:dyDescent="0.25">
      <c r="A82" s="924"/>
      <c r="B82" s="357" t="s">
        <v>538</v>
      </c>
      <c r="C82" s="355" t="s">
        <v>590</v>
      </c>
      <c r="D82" s="356">
        <v>74321</v>
      </c>
      <c r="E82" s="343">
        <v>45113</v>
      </c>
      <c r="F82" s="343">
        <v>45199.542349537034</v>
      </c>
      <c r="G82" s="502">
        <v>270574.62</v>
      </c>
    </row>
    <row r="83" spans="1:7" s="23" customFormat="1" ht="45" x14ac:dyDescent="0.25">
      <c r="A83" s="924"/>
      <c r="B83" s="357" t="s">
        <v>538</v>
      </c>
      <c r="C83" s="358" t="s">
        <v>589</v>
      </c>
      <c r="D83" s="356">
        <v>74345</v>
      </c>
      <c r="E83" s="343">
        <v>45113.333344907405</v>
      </c>
      <c r="F83" s="343">
        <v>45199.542349537034</v>
      </c>
      <c r="G83" s="502">
        <v>326500</v>
      </c>
    </row>
    <row r="84" spans="1:7" s="23" customFormat="1" ht="45" x14ac:dyDescent="0.25">
      <c r="A84" s="924"/>
      <c r="B84" s="357" t="s">
        <v>538</v>
      </c>
      <c r="C84" s="358" t="s">
        <v>588</v>
      </c>
      <c r="D84" s="356">
        <v>74461</v>
      </c>
      <c r="E84" s="343">
        <v>45113.333344907405</v>
      </c>
      <c r="F84" s="343">
        <v>45199.542349537034</v>
      </c>
      <c r="G84" s="502">
        <v>255580</v>
      </c>
    </row>
    <row r="85" spans="1:7" s="23" customFormat="1" ht="33.75" x14ac:dyDescent="0.25">
      <c r="A85" s="924"/>
      <c r="B85" s="357" t="s">
        <v>242</v>
      </c>
      <c r="C85" s="358" t="s">
        <v>295</v>
      </c>
      <c r="D85" s="356">
        <v>74561</v>
      </c>
      <c r="E85" s="343">
        <v>45106</v>
      </c>
      <c r="F85" s="343">
        <v>45327</v>
      </c>
      <c r="G85" s="502">
        <v>275000</v>
      </c>
    </row>
    <row r="86" spans="1:7" s="23" customFormat="1" ht="67.5" x14ac:dyDescent="0.25">
      <c r="A86" s="924"/>
      <c r="B86" s="357" t="s">
        <v>273</v>
      </c>
      <c r="C86" s="358" t="s">
        <v>712</v>
      </c>
      <c r="D86" s="356">
        <v>87922</v>
      </c>
      <c r="E86" s="343">
        <v>45841</v>
      </c>
      <c r="F86" s="343">
        <v>45840</v>
      </c>
      <c r="G86" s="502">
        <v>1539495.43</v>
      </c>
    </row>
    <row r="87" spans="1:7" s="23" customFormat="1" ht="22.5" x14ac:dyDescent="0.25">
      <c r="A87" s="923" t="s">
        <v>352</v>
      </c>
      <c r="B87" s="357" t="s">
        <v>63</v>
      </c>
      <c r="C87" s="355" t="s">
        <v>443</v>
      </c>
      <c r="D87" s="356">
        <v>26821</v>
      </c>
      <c r="E87" s="360">
        <v>43560</v>
      </c>
      <c r="F87" s="343">
        <v>43714</v>
      </c>
      <c r="G87" s="502">
        <v>144359.57</v>
      </c>
    </row>
    <row r="88" spans="1:7" s="23" customFormat="1" ht="22.5" x14ac:dyDescent="0.25">
      <c r="A88" s="923"/>
      <c r="B88" s="357" t="s">
        <v>63</v>
      </c>
      <c r="C88" s="355" t="s">
        <v>444</v>
      </c>
      <c r="D88" s="356">
        <v>32964</v>
      </c>
      <c r="E88" s="360">
        <v>43651</v>
      </c>
      <c r="F88" s="343">
        <v>44196</v>
      </c>
      <c r="G88" s="502">
        <v>0</v>
      </c>
    </row>
    <row r="89" spans="1:7" s="23" customFormat="1" ht="33.75" x14ac:dyDescent="0.25">
      <c r="A89" s="923"/>
      <c r="B89" s="371" t="s">
        <v>538</v>
      </c>
      <c r="C89" s="355" t="s">
        <v>445</v>
      </c>
      <c r="D89" s="356">
        <v>34786</v>
      </c>
      <c r="E89" s="360">
        <v>43735</v>
      </c>
      <c r="F89" s="343">
        <v>44242</v>
      </c>
      <c r="G89" s="502">
        <v>46162.5</v>
      </c>
    </row>
    <row r="90" spans="1:7" s="23" customFormat="1" ht="22.5" x14ac:dyDescent="0.25">
      <c r="A90" s="923"/>
      <c r="B90" s="357" t="s">
        <v>539</v>
      </c>
      <c r="C90" s="355" t="s">
        <v>446</v>
      </c>
      <c r="D90" s="356">
        <v>36442</v>
      </c>
      <c r="E90" s="360">
        <v>43756</v>
      </c>
      <c r="F90" s="343">
        <v>43875</v>
      </c>
      <c r="G90" s="502">
        <v>279800.80000000005</v>
      </c>
    </row>
    <row r="91" spans="1:7" s="23" customFormat="1" ht="22.5" x14ac:dyDescent="0.25">
      <c r="A91" s="923"/>
      <c r="B91" s="357" t="s">
        <v>539</v>
      </c>
      <c r="C91" s="355" t="s">
        <v>447</v>
      </c>
      <c r="D91" s="356">
        <v>36443</v>
      </c>
      <c r="E91" s="360">
        <v>43756</v>
      </c>
      <c r="F91" s="343">
        <v>43875</v>
      </c>
      <c r="G91" s="502">
        <v>299883.96000000002</v>
      </c>
    </row>
    <row r="92" spans="1:7" s="23" customFormat="1" ht="33.75" x14ac:dyDescent="0.25">
      <c r="A92" s="923"/>
      <c r="B92" s="357" t="s">
        <v>539</v>
      </c>
      <c r="C92" s="355" t="s">
        <v>448</v>
      </c>
      <c r="D92" s="356">
        <v>39621</v>
      </c>
      <c r="E92" s="360">
        <v>43846</v>
      </c>
      <c r="F92" s="343">
        <v>44242</v>
      </c>
      <c r="G92" s="506">
        <v>0</v>
      </c>
    </row>
    <row r="93" spans="1:7" s="23" customFormat="1" x14ac:dyDescent="0.25">
      <c r="A93" s="923"/>
      <c r="B93" s="357" t="s">
        <v>245</v>
      </c>
      <c r="C93" s="355" t="s">
        <v>449</v>
      </c>
      <c r="D93" s="356">
        <v>40381</v>
      </c>
      <c r="E93" s="360">
        <v>43860</v>
      </c>
      <c r="F93" s="343">
        <v>44174</v>
      </c>
      <c r="G93" s="506">
        <v>612446.12</v>
      </c>
    </row>
    <row r="94" spans="1:7" s="23" customFormat="1" ht="33.75" x14ac:dyDescent="0.25">
      <c r="A94" s="923"/>
      <c r="B94" s="357" t="s">
        <v>242</v>
      </c>
      <c r="C94" s="355" t="s">
        <v>450</v>
      </c>
      <c r="D94" s="356">
        <v>41163</v>
      </c>
      <c r="E94" s="360">
        <v>43874</v>
      </c>
      <c r="F94" s="343">
        <v>44104</v>
      </c>
      <c r="G94" s="506">
        <v>299483.5</v>
      </c>
    </row>
    <row r="95" spans="1:7" s="23" customFormat="1" ht="33.75" x14ac:dyDescent="0.25">
      <c r="A95" s="923"/>
      <c r="B95" s="357" t="s">
        <v>275</v>
      </c>
      <c r="C95" s="355" t="s">
        <v>290</v>
      </c>
      <c r="D95" s="356">
        <v>47341</v>
      </c>
      <c r="E95" s="360">
        <v>44001</v>
      </c>
      <c r="F95" s="343">
        <v>44242</v>
      </c>
      <c r="G95" s="506">
        <v>35199.120000000003</v>
      </c>
    </row>
    <row r="96" spans="1:7" s="23" customFormat="1" ht="22.5" x14ac:dyDescent="0.25">
      <c r="A96" s="923"/>
      <c r="B96" s="357" t="s">
        <v>151</v>
      </c>
      <c r="C96" s="355" t="s">
        <v>318</v>
      </c>
      <c r="D96" s="356">
        <v>48901</v>
      </c>
      <c r="E96" s="360">
        <v>44043</v>
      </c>
      <c r="F96" s="343">
        <v>44242</v>
      </c>
      <c r="G96" s="506">
        <v>0</v>
      </c>
    </row>
    <row r="97" spans="1:7" s="23" customFormat="1" ht="33.75" x14ac:dyDescent="0.25">
      <c r="A97" s="923"/>
      <c r="B97" s="357" t="s">
        <v>242</v>
      </c>
      <c r="C97" s="358" t="s">
        <v>544</v>
      </c>
      <c r="D97" s="356">
        <v>70582</v>
      </c>
      <c r="E97" s="360">
        <v>44959</v>
      </c>
      <c r="F97" s="343">
        <v>45000</v>
      </c>
      <c r="G97" s="502">
        <v>1147973.69</v>
      </c>
    </row>
    <row r="98" spans="1:7" s="23" customFormat="1" ht="33.75" x14ac:dyDescent="0.25">
      <c r="A98" s="923"/>
      <c r="B98" s="357" t="s">
        <v>539</v>
      </c>
      <c r="C98" s="358" t="s">
        <v>564</v>
      </c>
      <c r="D98" s="356">
        <v>72841</v>
      </c>
      <c r="E98" s="360">
        <v>45043</v>
      </c>
      <c r="F98" s="343">
        <v>45084</v>
      </c>
      <c r="G98" s="506">
        <v>462611.08</v>
      </c>
    </row>
    <row r="99" spans="1:7" s="23" customFormat="1" ht="33.75" x14ac:dyDescent="0.25">
      <c r="A99" s="923"/>
      <c r="B99" s="371" t="s">
        <v>538</v>
      </c>
      <c r="C99" s="358" t="s">
        <v>552</v>
      </c>
      <c r="D99" s="356">
        <v>73577</v>
      </c>
      <c r="E99" s="360">
        <v>45071</v>
      </c>
      <c r="F99" s="343">
        <v>45112</v>
      </c>
      <c r="G99" s="506">
        <v>245134.16</v>
      </c>
    </row>
    <row r="100" spans="1:7" s="23" customFormat="1" x14ac:dyDescent="0.25">
      <c r="A100" s="923"/>
      <c r="B100" s="357" t="s">
        <v>273</v>
      </c>
      <c r="C100" s="358" t="s">
        <v>548</v>
      </c>
      <c r="D100" s="356">
        <v>73722</v>
      </c>
      <c r="E100" s="360">
        <v>45071</v>
      </c>
      <c r="F100" s="343">
        <v>45124</v>
      </c>
      <c r="G100" s="506">
        <v>684856.9</v>
      </c>
    </row>
    <row r="101" spans="1:7" s="23" customFormat="1" ht="22.5" x14ac:dyDescent="0.25">
      <c r="A101" s="923"/>
      <c r="B101" s="357" t="s">
        <v>539</v>
      </c>
      <c r="C101" s="358" t="s">
        <v>553</v>
      </c>
      <c r="D101" s="356">
        <v>73721</v>
      </c>
      <c r="E101" s="360">
        <v>45071</v>
      </c>
      <c r="F101" s="343">
        <v>45112</v>
      </c>
      <c r="G101" s="502">
        <v>388173.01</v>
      </c>
    </row>
    <row r="102" spans="1:7" s="23" customFormat="1" ht="33.75" x14ac:dyDescent="0.25">
      <c r="A102" s="928" t="s">
        <v>468</v>
      </c>
      <c r="B102" s="371" t="s">
        <v>538</v>
      </c>
      <c r="C102" s="355" t="s">
        <v>442</v>
      </c>
      <c r="D102" s="356">
        <v>33224</v>
      </c>
      <c r="E102" s="360">
        <v>43706</v>
      </c>
      <c r="F102" s="343">
        <v>43766.999988425923</v>
      </c>
      <c r="G102" s="502">
        <v>900000</v>
      </c>
    </row>
    <row r="103" spans="1:7" s="23" customFormat="1" ht="22.5" x14ac:dyDescent="0.25">
      <c r="A103" s="928"/>
      <c r="B103" s="371" t="s">
        <v>242</v>
      </c>
      <c r="C103" s="355" t="s">
        <v>487</v>
      </c>
      <c r="D103" s="356">
        <v>67381</v>
      </c>
      <c r="E103" s="360">
        <v>44588</v>
      </c>
      <c r="F103" s="508">
        <v>44903</v>
      </c>
      <c r="G103" s="502">
        <v>600000</v>
      </c>
    </row>
    <row r="104" spans="1:7" s="23" customFormat="1" x14ac:dyDescent="0.25">
      <c r="A104" s="928"/>
      <c r="B104" s="371" t="s">
        <v>365</v>
      </c>
      <c r="C104" s="355" t="s">
        <v>531</v>
      </c>
      <c r="D104" s="356">
        <v>67383</v>
      </c>
      <c r="E104" s="360">
        <v>44778</v>
      </c>
      <c r="F104" s="508">
        <v>44916</v>
      </c>
      <c r="G104" s="502">
        <v>282219.15000000002</v>
      </c>
    </row>
    <row r="105" spans="1:7" s="23" customFormat="1" ht="22.5" x14ac:dyDescent="0.25">
      <c r="A105" s="928"/>
      <c r="B105" s="371" t="s">
        <v>538</v>
      </c>
      <c r="C105" s="355" t="s">
        <v>554</v>
      </c>
      <c r="D105" s="356">
        <v>72961</v>
      </c>
      <c r="E105" s="360">
        <v>45050</v>
      </c>
      <c r="F105" s="508">
        <v>45111</v>
      </c>
      <c r="G105" s="502">
        <v>443973.45</v>
      </c>
    </row>
    <row r="106" spans="1:7" s="23" customFormat="1" x14ac:dyDescent="0.25">
      <c r="A106" s="928"/>
      <c r="B106" s="371" t="s">
        <v>245</v>
      </c>
      <c r="C106" s="355" t="s">
        <v>555</v>
      </c>
      <c r="D106" s="356">
        <v>74482</v>
      </c>
      <c r="E106" s="360">
        <v>45099</v>
      </c>
      <c r="F106" s="360">
        <v>45223</v>
      </c>
      <c r="G106" s="502">
        <v>800000</v>
      </c>
    </row>
    <row r="107" spans="1:7" s="23" customFormat="1" ht="33.75" x14ac:dyDescent="0.25">
      <c r="A107" s="928"/>
      <c r="B107" s="371" t="s">
        <v>538</v>
      </c>
      <c r="C107" s="355" t="s">
        <v>592</v>
      </c>
      <c r="D107" s="356">
        <v>75602</v>
      </c>
      <c r="E107" s="360">
        <v>45170</v>
      </c>
      <c r="F107" s="360">
        <v>45225</v>
      </c>
      <c r="G107" s="502">
        <v>398038.64</v>
      </c>
    </row>
    <row r="108" spans="1:7" s="23" customFormat="1" ht="22.5" x14ac:dyDescent="0.25">
      <c r="A108" s="928"/>
      <c r="B108" s="371" t="s">
        <v>245</v>
      </c>
      <c r="C108" s="355" t="s">
        <v>609</v>
      </c>
      <c r="D108" s="356">
        <v>76821</v>
      </c>
      <c r="E108" s="360">
        <v>45330.000011574077</v>
      </c>
      <c r="F108" s="360">
        <v>45377.999988425923</v>
      </c>
      <c r="G108" s="502">
        <v>800000</v>
      </c>
    </row>
    <row r="109" spans="1:7" s="23" customFormat="1" ht="22.5" x14ac:dyDescent="0.25">
      <c r="A109" s="928"/>
      <c r="B109" s="371" t="s">
        <v>242</v>
      </c>
      <c r="C109" s="355" t="s">
        <v>610</v>
      </c>
      <c r="D109" s="356">
        <v>78581</v>
      </c>
      <c r="E109" s="360">
        <v>45331</v>
      </c>
      <c r="F109" s="360">
        <v>45394</v>
      </c>
      <c r="G109" s="502">
        <v>210000</v>
      </c>
    </row>
    <row r="110" spans="1:7" s="23" customFormat="1" ht="22.5" x14ac:dyDescent="0.25">
      <c r="A110" s="928"/>
      <c r="B110" s="371" t="s">
        <v>538</v>
      </c>
      <c r="C110" s="355" t="s">
        <v>610</v>
      </c>
      <c r="D110" s="356">
        <v>78624</v>
      </c>
      <c r="E110" s="360">
        <v>45331</v>
      </c>
      <c r="F110" s="360">
        <v>45394</v>
      </c>
      <c r="G110" s="502">
        <v>212893.26</v>
      </c>
    </row>
    <row r="111" spans="1:7" s="23" customFormat="1" ht="22.5" x14ac:dyDescent="0.25">
      <c r="A111" s="928"/>
      <c r="B111" s="371" t="s">
        <v>238</v>
      </c>
      <c r="C111" s="355" t="s">
        <v>611</v>
      </c>
      <c r="D111" s="356">
        <v>78626</v>
      </c>
      <c r="E111" s="360">
        <v>45331</v>
      </c>
      <c r="F111" s="360">
        <v>45387</v>
      </c>
      <c r="G111" s="502">
        <v>400000</v>
      </c>
    </row>
    <row r="112" spans="1:7" s="23" customFormat="1" x14ac:dyDescent="0.25">
      <c r="A112" s="928"/>
      <c r="B112" s="363" t="s">
        <v>273</v>
      </c>
      <c r="C112" s="355" t="s">
        <v>716</v>
      </c>
      <c r="D112" s="356">
        <v>87862</v>
      </c>
      <c r="E112" s="360">
        <v>45841.000011574077</v>
      </c>
      <c r="F112" s="360">
        <v>45875.999988425923</v>
      </c>
      <c r="G112" s="502">
        <v>1700000</v>
      </c>
    </row>
    <row r="113" spans="1:7" s="23" customFormat="1" ht="22.5" x14ac:dyDescent="0.25">
      <c r="A113" s="923" t="s">
        <v>235</v>
      </c>
      <c r="B113" s="357" t="s">
        <v>55</v>
      </c>
      <c r="C113" s="355" t="s">
        <v>302</v>
      </c>
      <c r="D113" s="356">
        <v>18361</v>
      </c>
      <c r="E113" s="360">
        <v>43374</v>
      </c>
      <c r="F113" s="343">
        <v>43404.999988425923</v>
      </c>
      <c r="G113" s="502">
        <v>149994.57999999999</v>
      </c>
    </row>
    <row r="114" spans="1:7" s="23" customFormat="1" ht="33.75" x14ac:dyDescent="0.25">
      <c r="A114" s="923"/>
      <c r="B114" s="357" t="s">
        <v>63</v>
      </c>
      <c r="C114" s="355" t="s">
        <v>369</v>
      </c>
      <c r="D114" s="356">
        <v>21055</v>
      </c>
      <c r="E114" s="360">
        <v>43497</v>
      </c>
      <c r="F114" s="343">
        <v>43539.999988425923</v>
      </c>
      <c r="G114" s="502">
        <v>0</v>
      </c>
    </row>
    <row r="115" spans="1:7" s="23" customFormat="1" ht="22.5" x14ac:dyDescent="0.25">
      <c r="A115" s="923"/>
      <c r="B115" s="357" t="s">
        <v>236</v>
      </c>
      <c r="C115" s="355" t="s">
        <v>370</v>
      </c>
      <c r="D115" s="356">
        <v>29682</v>
      </c>
      <c r="E115" s="360">
        <v>43605</v>
      </c>
      <c r="F115" s="343">
        <v>43651.999988425923</v>
      </c>
      <c r="G115" s="502">
        <v>720000</v>
      </c>
    </row>
    <row r="116" spans="1:7" s="23" customFormat="1" ht="22.5" x14ac:dyDescent="0.25">
      <c r="A116" s="923"/>
      <c r="B116" s="357" t="s">
        <v>63</v>
      </c>
      <c r="C116" s="355" t="s">
        <v>368</v>
      </c>
      <c r="D116" s="356">
        <v>40126</v>
      </c>
      <c r="E116" s="360">
        <v>43854</v>
      </c>
      <c r="F116" s="343">
        <v>44592</v>
      </c>
      <c r="G116" s="502">
        <v>450000</v>
      </c>
    </row>
    <row r="117" spans="1:7" s="23" customFormat="1" ht="22.5" x14ac:dyDescent="0.25">
      <c r="A117" s="923"/>
      <c r="B117" s="357" t="s">
        <v>275</v>
      </c>
      <c r="C117" s="355" t="s">
        <v>371</v>
      </c>
      <c r="D117" s="356">
        <v>40125</v>
      </c>
      <c r="E117" s="360">
        <v>43854</v>
      </c>
      <c r="F117" s="343">
        <v>44043</v>
      </c>
      <c r="G117" s="502">
        <v>115610.76</v>
      </c>
    </row>
    <row r="118" spans="1:7" s="23" customFormat="1" ht="22.5" x14ac:dyDescent="0.25">
      <c r="A118" s="923"/>
      <c r="B118" s="357" t="s">
        <v>236</v>
      </c>
      <c r="C118" s="355" t="s">
        <v>532</v>
      </c>
      <c r="D118" s="356">
        <v>78023</v>
      </c>
      <c r="E118" s="360">
        <v>45311</v>
      </c>
      <c r="F118" s="360">
        <v>45350</v>
      </c>
      <c r="G118" s="502">
        <v>554324.4</v>
      </c>
    </row>
    <row r="119" spans="1:7" s="23" customFormat="1" ht="33.75" x14ac:dyDescent="0.25">
      <c r="A119" s="923"/>
      <c r="B119" s="357" t="s">
        <v>63</v>
      </c>
      <c r="C119" s="355" t="s">
        <v>369</v>
      </c>
      <c r="D119" s="356">
        <v>78041</v>
      </c>
      <c r="E119" s="360">
        <v>45314</v>
      </c>
      <c r="F119" s="360">
        <v>45350</v>
      </c>
      <c r="G119" s="502">
        <v>0</v>
      </c>
    </row>
    <row r="120" spans="1:7" s="23" customFormat="1" ht="56.25" x14ac:dyDescent="0.25">
      <c r="A120" s="923"/>
      <c r="B120" s="357" t="s">
        <v>245</v>
      </c>
      <c r="C120" s="355" t="s">
        <v>628</v>
      </c>
      <c r="D120" s="356">
        <v>80246</v>
      </c>
      <c r="E120" s="360">
        <v>45414</v>
      </c>
      <c r="F120" s="360">
        <v>45453</v>
      </c>
      <c r="G120" s="502">
        <v>1337160</v>
      </c>
    </row>
    <row r="121" spans="1:7" s="23" customFormat="1" ht="67.5" x14ac:dyDescent="0.25">
      <c r="A121" s="923"/>
      <c r="B121" s="363" t="s">
        <v>273</v>
      </c>
      <c r="C121" s="358" t="s">
        <v>715</v>
      </c>
      <c r="D121" s="356">
        <v>87722</v>
      </c>
      <c r="E121" s="360">
        <v>45834</v>
      </c>
      <c r="F121" s="360">
        <v>45866</v>
      </c>
      <c r="G121" s="502">
        <v>493220.1</v>
      </c>
    </row>
    <row r="122" spans="1:7" s="23" customFormat="1" ht="33.75" x14ac:dyDescent="0.25">
      <c r="A122" s="923" t="s">
        <v>300</v>
      </c>
      <c r="B122" s="357" t="s">
        <v>63</v>
      </c>
      <c r="C122" s="355" t="s">
        <v>268</v>
      </c>
      <c r="D122" s="356">
        <v>39641</v>
      </c>
      <c r="E122" s="360">
        <v>43839</v>
      </c>
      <c r="F122" s="343">
        <v>44119</v>
      </c>
      <c r="G122" s="502">
        <v>248381.12</v>
      </c>
    </row>
    <row r="123" spans="1:7" s="23" customFormat="1" ht="33.75" x14ac:dyDescent="0.25">
      <c r="A123" s="923"/>
      <c r="B123" s="357" t="s">
        <v>63</v>
      </c>
      <c r="C123" s="355" t="s">
        <v>440</v>
      </c>
      <c r="D123" s="356">
        <v>39601</v>
      </c>
      <c r="E123" s="360">
        <v>43839</v>
      </c>
      <c r="F123" s="343">
        <v>44119</v>
      </c>
      <c r="G123" s="502">
        <v>157950</v>
      </c>
    </row>
    <row r="124" spans="1:7" s="23" customFormat="1" ht="22.5" x14ac:dyDescent="0.25">
      <c r="A124" s="923"/>
      <c r="B124" s="357" t="s">
        <v>538</v>
      </c>
      <c r="C124" s="355" t="s">
        <v>439</v>
      </c>
      <c r="D124" s="356">
        <v>40143</v>
      </c>
      <c r="E124" s="360">
        <v>43860</v>
      </c>
      <c r="F124" s="343">
        <v>44119</v>
      </c>
      <c r="G124" s="502">
        <v>85748.03</v>
      </c>
    </row>
    <row r="125" spans="1:7" s="23" customFormat="1" ht="33.75" x14ac:dyDescent="0.25">
      <c r="A125" s="923"/>
      <c r="B125" s="357" t="s">
        <v>538</v>
      </c>
      <c r="C125" s="355" t="s">
        <v>269</v>
      </c>
      <c r="D125" s="356">
        <v>40083</v>
      </c>
      <c r="E125" s="360">
        <v>43860</v>
      </c>
      <c r="F125" s="343">
        <v>44119</v>
      </c>
      <c r="G125" s="502">
        <v>77677.02</v>
      </c>
    </row>
    <row r="126" spans="1:7" s="23" customFormat="1" ht="33.75" x14ac:dyDescent="0.25">
      <c r="A126" s="923"/>
      <c r="B126" s="357" t="s">
        <v>539</v>
      </c>
      <c r="C126" s="355" t="s">
        <v>270</v>
      </c>
      <c r="D126" s="356">
        <v>39986</v>
      </c>
      <c r="E126" s="360">
        <v>43861</v>
      </c>
      <c r="F126" s="343">
        <v>44119</v>
      </c>
      <c r="G126" s="502">
        <v>177106.18</v>
      </c>
    </row>
    <row r="127" spans="1:7" s="23" customFormat="1" ht="33.75" x14ac:dyDescent="0.25">
      <c r="A127" s="923"/>
      <c r="B127" s="357" t="s">
        <v>538</v>
      </c>
      <c r="C127" s="355" t="s">
        <v>455</v>
      </c>
      <c r="D127" s="356">
        <v>40301</v>
      </c>
      <c r="E127" s="360">
        <v>43860</v>
      </c>
      <c r="F127" s="343">
        <v>44119</v>
      </c>
      <c r="G127" s="502">
        <v>50900</v>
      </c>
    </row>
    <row r="128" spans="1:7" s="23" customFormat="1" ht="33.75" x14ac:dyDescent="0.25">
      <c r="A128" s="923"/>
      <c r="B128" s="357" t="s">
        <v>242</v>
      </c>
      <c r="C128" s="355" t="s">
        <v>441</v>
      </c>
      <c r="D128" s="356">
        <v>42462</v>
      </c>
      <c r="E128" s="360">
        <v>43902</v>
      </c>
      <c r="F128" s="343">
        <v>44119</v>
      </c>
      <c r="G128" s="502">
        <v>210000</v>
      </c>
    </row>
    <row r="129" spans="1:7" s="23" customFormat="1" ht="22.5" x14ac:dyDescent="0.25">
      <c r="A129" s="923"/>
      <c r="B129" s="357" t="s">
        <v>242</v>
      </c>
      <c r="C129" s="355" t="s">
        <v>456</v>
      </c>
      <c r="D129" s="356">
        <v>42243</v>
      </c>
      <c r="E129" s="360">
        <v>43902</v>
      </c>
      <c r="F129" s="343">
        <v>44119</v>
      </c>
      <c r="G129" s="502">
        <v>283500</v>
      </c>
    </row>
    <row r="130" spans="1:7" s="23" customFormat="1" ht="22.5" x14ac:dyDescent="0.25">
      <c r="A130" s="923"/>
      <c r="B130" s="357" t="s">
        <v>273</v>
      </c>
      <c r="C130" s="355" t="s">
        <v>427</v>
      </c>
      <c r="D130" s="356">
        <v>42281</v>
      </c>
      <c r="E130" s="360">
        <v>43902</v>
      </c>
      <c r="F130" s="343">
        <v>44119</v>
      </c>
      <c r="G130" s="502">
        <v>207013.07</v>
      </c>
    </row>
    <row r="131" spans="1:7" s="23" customFormat="1" ht="33.75" x14ac:dyDescent="0.25">
      <c r="A131" s="923"/>
      <c r="B131" s="357" t="s">
        <v>275</v>
      </c>
      <c r="C131" s="355" t="s">
        <v>457</v>
      </c>
      <c r="D131" s="356">
        <v>44826</v>
      </c>
      <c r="E131" s="360">
        <v>43951</v>
      </c>
      <c r="F131" s="343">
        <v>44119</v>
      </c>
      <c r="G131" s="502">
        <v>327944.75</v>
      </c>
    </row>
    <row r="132" spans="1:7" s="23" customFormat="1" ht="22.5" x14ac:dyDescent="0.25">
      <c r="A132" s="923"/>
      <c r="B132" s="357" t="s">
        <v>273</v>
      </c>
      <c r="C132" s="355" t="s">
        <v>427</v>
      </c>
      <c r="D132" s="356">
        <v>65881</v>
      </c>
      <c r="E132" s="360">
        <v>44735</v>
      </c>
      <c r="F132" s="343">
        <v>44816</v>
      </c>
      <c r="G132" s="502">
        <v>1899874</v>
      </c>
    </row>
    <row r="133" spans="1:7" s="23" customFormat="1" ht="33.75" x14ac:dyDescent="0.25">
      <c r="A133" s="923"/>
      <c r="B133" s="357" t="s">
        <v>242</v>
      </c>
      <c r="C133" s="355" t="s">
        <v>546</v>
      </c>
      <c r="D133" s="356">
        <v>70421</v>
      </c>
      <c r="E133" s="360">
        <v>44973</v>
      </c>
      <c r="F133" s="343">
        <v>45036</v>
      </c>
      <c r="G133" s="502">
        <v>60000</v>
      </c>
    </row>
    <row r="134" spans="1:7" s="23" customFormat="1" ht="22.5" x14ac:dyDescent="0.25">
      <c r="A134" s="923"/>
      <c r="B134" s="357" t="s">
        <v>242</v>
      </c>
      <c r="C134" s="355" t="s">
        <v>547</v>
      </c>
      <c r="D134" s="356">
        <v>70401</v>
      </c>
      <c r="E134" s="360">
        <v>44973</v>
      </c>
      <c r="F134" s="343">
        <v>45036</v>
      </c>
      <c r="G134" s="502">
        <v>120000</v>
      </c>
    </row>
    <row r="135" spans="1:7" s="23" customFormat="1" ht="22.5" x14ac:dyDescent="0.25">
      <c r="A135" s="923"/>
      <c r="B135" s="357" t="s">
        <v>538</v>
      </c>
      <c r="C135" s="355" t="s">
        <v>439</v>
      </c>
      <c r="D135" s="356">
        <v>72182</v>
      </c>
      <c r="E135" s="360">
        <v>45127</v>
      </c>
      <c r="F135" s="343">
        <v>45189</v>
      </c>
      <c r="G135" s="502">
        <v>120000</v>
      </c>
    </row>
    <row r="136" spans="1:7" s="23" customFormat="1" ht="33.75" x14ac:dyDescent="0.25">
      <c r="A136" s="923"/>
      <c r="B136" s="357" t="s">
        <v>539</v>
      </c>
      <c r="C136" s="355" t="s">
        <v>270</v>
      </c>
      <c r="D136" s="356">
        <v>74781</v>
      </c>
      <c r="E136" s="360">
        <v>45127</v>
      </c>
      <c r="F136" s="343">
        <v>45189</v>
      </c>
      <c r="G136" s="502">
        <v>120000</v>
      </c>
    </row>
    <row r="137" spans="1:7" s="23" customFormat="1" ht="33.75" x14ac:dyDescent="0.25">
      <c r="A137" s="923"/>
      <c r="B137" s="357" t="s">
        <v>538</v>
      </c>
      <c r="C137" s="355" t="s">
        <v>269</v>
      </c>
      <c r="D137" s="356">
        <v>75282</v>
      </c>
      <c r="E137" s="360">
        <v>45148</v>
      </c>
      <c r="F137" s="343">
        <v>45209</v>
      </c>
      <c r="G137" s="502">
        <v>120000</v>
      </c>
    </row>
    <row r="138" spans="1:7" s="23" customFormat="1" ht="22.5" x14ac:dyDescent="0.25">
      <c r="A138" s="923"/>
      <c r="B138" s="357" t="s">
        <v>273</v>
      </c>
      <c r="C138" s="355" t="s">
        <v>274</v>
      </c>
      <c r="D138" s="356">
        <v>78309</v>
      </c>
      <c r="E138" s="360">
        <v>45386</v>
      </c>
      <c r="F138" s="360">
        <v>45429</v>
      </c>
      <c r="G138" s="502">
        <v>1208873.4099999999</v>
      </c>
    </row>
    <row r="139" spans="1:7" s="23" customFormat="1" ht="33.75" x14ac:dyDescent="0.25">
      <c r="A139" s="923" t="s">
        <v>299</v>
      </c>
      <c r="B139" s="357" t="s">
        <v>245</v>
      </c>
      <c r="C139" s="355" t="s">
        <v>458</v>
      </c>
      <c r="D139" s="356">
        <v>23882</v>
      </c>
      <c r="E139" s="360">
        <v>43538</v>
      </c>
      <c r="F139" s="343">
        <v>43570</v>
      </c>
      <c r="G139" s="502">
        <v>255604.41</v>
      </c>
    </row>
    <row r="140" spans="1:7" s="23" customFormat="1" ht="22.5" x14ac:dyDescent="0.25">
      <c r="A140" s="923"/>
      <c r="B140" s="357" t="s">
        <v>245</v>
      </c>
      <c r="C140" s="355" t="s">
        <v>459</v>
      </c>
      <c r="D140" s="356">
        <v>30923</v>
      </c>
      <c r="E140" s="360">
        <v>43636</v>
      </c>
      <c r="F140" s="343">
        <v>43728.999988425923</v>
      </c>
      <c r="G140" s="502">
        <v>1375028.9400000002</v>
      </c>
    </row>
    <row r="141" spans="1:7" s="23" customFormat="1" ht="22.5" x14ac:dyDescent="0.25">
      <c r="A141" s="923"/>
      <c r="B141" s="371" t="s">
        <v>538</v>
      </c>
      <c r="C141" s="355" t="s">
        <v>459</v>
      </c>
      <c r="D141" s="356">
        <v>34923</v>
      </c>
      <c r="E141" s="360">
        <v>43678</v>
      </c>
      <c r="F141" s="343">
        <v>43784.999988425923</v>
      </c>
      <c r="G141" s="502">
        <v>668435.93999999994</v>
      </c>
    </row>
    <row r="142" spans="1:7" s="23" customFormat="1" x14ac:dyDescent="0.25">
      <c r="A142" s="923"/>
      <c r="B142" s="371" t="s">
        <v>538</v>
      </c>
      <c r="C142" s="355" t="s">
        <v>320</v>
      </c>
      <c r="D142" s="356">
        <v>49261</v>
      </c>
      <c r="E142" s="360">
        <v>44056</v>
      </c>
      <c r="F142" s="343">
        <v>44286</v>
      </c>
      <c r="G142" s="502">
        <v>0</v>
      </c>
    </row>
    <row r="143" spans="1:7" s="23" customFormat="1" ht="22.5" x14ac:dyDescent="0.25">
      <c r="A143" s="923"/>
      <c r="B143" s="371" t="s">
        <v>538</v>
      </c>
      <c r="C143" s="355" t="s">
        <v>321</v>
      </c>
      <c r="D143" s="356">
        <v>49283</v>
      </c>
      <c r="E143" s="360">
        <v>44056</v>
      </c>
      <c r="F143" s="343">
        <v>44286</v>
      </c>
      <c r="G143" s="502">
        <v>391317.74</v>
      </c>
    </row>
    <row r="144" spans="1:7" s="23" customFormat="1" ht="45" x14ac:dyDescent="0.25">
      <c r="A144" s="923"/>
      <c r="B144" s="371" t="s">
        <v>538</v>
      </c>
      <c r="C144" s="355" t="s">
        <v>322</v>
      </c>
      <c r="D144" s="356">
        <v>49262</v>
      </c>
      <c r="E144" s="360">
        <v>44056</v>
      </c>
      <c r="F144" s="343">
        <v>44286</v>
      </c>
      <c r="G144" s="502">
        <v>18553.46</v>
      </c>
    </row>
    <row r="145" spans="1:7" s="23" customFormat="1" ht="33.75" x14ac:dyDescent="0.25">
      <c r="A145" s="923"/>
      <c r="B145" s="357" t="s">
        <v>365</v>
      </c>
      <c r="C145" s="355" t="s">
        <v>421</v>
      </c>
      <c r="D145" s="356">
        <v>62762</v>
      </c>
      <c r="E145" s="360">
        <v>44499</v>
      </c>
      <c r="F145" s="343">
        <v>44635</v>
      </c>
      <c r="G145" s="502">
        <v>102242.82</v>
      </c>
    </row>
    <row r="146" spans="1:7" s="23" customFormat="1" ht="22.5" x14ac:dyDescent="0.25">
      <c r="A146" s="923"/>
      <c r="B146" s="371" t="s">
        <v>538</v>
      </c>
      <c r="C146" s="355" t="s">
        <v>321</v>
      </c>
      <c r="D146" s="509">
        <v>71901</v>
      </c>
      <c r="E146" s="360">
        <v>45008</v>
      </c>
      <c r="F146" s="343">
        <v>45051</v>
      </c>
      <c r="G146" s="502">
        <v>369426.78</v>
      </c>
    </row>
    <row r="147" spans="1:7" s="23" customFormat="1" ht="22.5" x14ac:dyDescent="0.25">
      <c r="A147" s="923"/>
      <c r="B147" s="357" t="s">
        <v>245</v>
      </c>
      <c r="C147" s="355" t="s">
        <v>334</v>
      </c>
      <c r="D147" s="509">
        <v>71862</v>
      </c>
      <c r="E147" s="360">
        <v>45008</v>
      </c>
      <c r="F147" s="343">
        <v>45051</v>
      </c>
      <c r="G147" s="502">
        <v>386409.43</v>
      </c>
    </row>
    <row r="148" spans="1:7" s="23" customFormat="1" x14ac:dyDescent="0.25">
      <c r="A148" s="923" t="s">
        <v>241</v>
      </c>
      <c r="B148" s="357" t="s">
        <v>242</v>
      </c>
      <c r="C148" s="355" t="s">
        <v>460</v>
      </c>
      <c r="D148" s="356">
        <v>24941</v>
      </c>
      <c r="E148" s="360">
        <v>43552</v>
      </c>
      <c r="F148" s="343">
        <v>43707</v>
      </c>
      <c r="G148" s="502">
        <v>380000</v>
      </c>
    </row>
    <row r="149" spans="1:7" s="23" customFormat="1" ht="22.5" x14ac:dyDescent="0.25">
      <c r="A149" s="923"/>
      <c r="B149" s="357" t="s">
        <v>242</v>
      </c>
      <c r="C149" s="355" t="s">
        <v>244</v>
      </c>
      <c r="D149" s="356">
        <v>25205</v>
      </c>
      <c r="E149" s="360">
        <v>43552</v>
      </c>
      <c r="F149" s="343">
        <v>43707</v>
      </c>
      <c r="G149" s="502">
        <v>45000</v>
      </c>
    </row>
    <row r="150" spans="1:7" s="23" customFormat="1" ht="22.5" x14ac:dyDescent="0.25">
      <c r="A150" s="923"/>
      <c r="B150" s="357" t="s">
        <v>539</v>
      </c>
      <c r="C150" s="355" t="s">
        <v>264</v>
      </c>
      <c r="D150" s="356">
        <v>31304</v>
      </c>
      <c r="E150" s="360">
        <v>43650</v>
      </c>
      <c r="F150" s="343">
        <v>43742.999988425923</v>
      </c>
      <c r="G150" s="502">
        <v>30000</v>
      </c>
    </row>
    <row r="151" spans="1:7" s="23" customFormat="1" ht="22.5" x14ac:dyDescent="0.25">
      <c r="A151" s="923"/>
      <c r="B151" s="371" t="s">
        <v>538</v>
      </c>
      <c r="C151" s="355" t="s">
        <v>463</v>
      </c>
      <c r="D151" s="356">
        <v>31305</v>
      </c>
      <c r="E151" s="360">
        <v>43650</v>
      </c>
      <c r="F151" s="343">
        <v>43742.999988425923</v>
      </c>
      <c r="G151" s="502">
        <v>6390.09</v>
      </c>
    </row>
    <row r="152" spans="1:7" s="23" customFormat="1" ht="22.5" x14ac:dyDescent="0.25">
      <c r="A152" s="923"/>
      <c r="B152" s="357" t="s">
        <v>539</v>
      </c>
      <c r="C152" s="355" t="s">
        <v>461</v>
      </c>
      <c r="D152" s="356">
        <v>35405</v>
      </c>
      <c r="E152" s="360">
        <v>43734</v>
      </c>
      <c r="F152" s="343">
        <v>43795</v>
      </c>
      <c r="G152" s="502">
        <v>119035.9</v>
      </c>
    </row>
    <row r="153" spans="1:7" s="23" customFormat="1" ht="45" x14ac:dyDescent="0.25">
      <c r="A153" s="923"/>
      <c r="B153" s="357" t="s">
        <v>242</v>
      </c>
      <c r="C153" s="355" t="s">
        <v>286</v>
      </c>
      <c r="D153" s="356">
        <v>42383</v>
      </c>
      <c r="E153" s="360">
        <v>43958</v>
      </c>
      <c r="F153" s="343">
        <v>44104</v>
      </c>
      <c r="G153" s="502">
        <v>0</v>
      </c>
    </row>
    <row r="154" spans="1:7" s="23" customFormat="1" ht="22.5" x14ac:dyDescent="0.25">
      <c r="A154" s="923"/>
      <c r="B154" s="357" t="s">
        <v>539</v>
      </c>
      <c r="C154" s="355" t="s">
        <v>287</v>
      </c>
      <c r="D154" s="356">
        <v>42644</v>
      </c>
      <c r="E154" s="360">
        <v>43958</v>
      </c>
      <c r="F154" s="343">
        <v>44104</v>
      </c>
      <c r="G154" s="502">
        <v>224591.16</v>
      </c>
    </row>
    <row r="155" spans="1:7" s="23" customFormat="1" ht="22.5" x14ac:dyDescent="0.25">
      <c r="A155" s="923"/>
      <c r="B155" s="357" t="s">
        <v>55</v>
      </c>
      <c r="C155" s="355" t="s">
        <v>462</v>
      </c>
      <c r="D155" s="356">
        <v>45062</v>
      </c>
      <c r="E155" s="360">
        <v>43958</v>
      </c>
      <c r="F155" s="343">
        <v>44104</v>
      </c>
      <c r="G155" s="502">
        <v>0</v>
      </c>
    </row>
    <row r="156" spans="1:7" s="23" customFormat="1" ht="22.5" x14ac:dyDescent="0.25">
      <c r="A156" s="923"/>
      <c r="B156" s="357" t="s">
        <v>539</v>
      </c>
      <c r="C156" s="355" t="s">
        <v>264</v>
      </c>
      <c r="D156" s="356">
        <v>45422</v>
      </c>
      <c r="E156" s="360">
        <v>43958</v>
      </c>
      <c r="F156" s="343">
        <v>44104</v>
      </c>
      <c r="G156" s="502">
        <v>0</v>
      </c>
    </row>
    <row r="157" spans="1:7" s="23" customFormat="1" ht="22.5" x14ac:dyDescent="0.25">
      <c r="A157" s="923"/>
      <c r="B157" s="357" t="s">
        <v>539</v>
      </c>
      <c r="C157" s="355" t="s">
        <v>289</v>
      </c>
      <c r="D157" s="356">
        <v>45425</v>
      </c>
      <c r="E157" s="360">
        <v>43958</v>
      </c>
      <c r="F157" s="343">
        <v>44104</v>
      </c>
      <c r="G157" s="502">
        <v>76374.87</v>
      </c>
    </row>
    <row r="158" spans="1:7" s="23" customFormat="1" ht="22.5" x14ac:dyDescent="0.25">
      <c r="A158" s="923"/>
      <c r="B158" s="357" t="s">
        <v>245</v>
      </c>
      <c r="C158" s="355" t="s">
        <v>413</v>
      </c>
      <c r="D158" s="356">
        <v>56722</v>
      </c>
      <c r="E158" s="360">
        <v>44357</v>
      </c>
      <c r="F158" s="343">
        <v>44545</v>
      </c>
      <c r="G158" s="502">
        <v>954360</v>
      </c>
    </row>
    <row r="159" spans="1:7" s="23" customFormat="1" x14ac:dyDescent="0.25">
      <c r="A159" s="923"/>
      <c r="B159" s="357" t="s">
        <v>539</v>
      </c>
      <c r="C159" s="355" t="s">
        <v>489</v>
      </c>
      <c r="D159" s="356">
        <v>64866</v>
      </c>
      <c r="E159" s="360">
        <v>44693</v>
      </c>
      <c r="F159" s="343">
        <v>44732</v>
      </c>
      <c r="G159" s="502">
        <v>551890.34</v>
      </c>
    </row>
    <row r="160" spans="1:7" s="23" customFormat="1" ht="56.25" x14ac:dyDescent="0.25">
      <c r="A160" s="923"/>
      <c r="B160" s="357" t="s">
        <v>275</v>
      </c>
      <c r="C160" s="355" t="s">
        <v>556</v>
      </c>
      <c r="D160" s="356">
        <v>73441</v>
      </c>
      <c r="E160" s="360">
        <v>45064</v>
      </c>
      <c r="F160" s="343">
        <v>45111</v>
      </c>
      <c r="G160" s="502">
        <v>112000</v>
      </c>
    </row>
    <row r="161" spans="1:7" s="23" customFormat="1" ht="22.5" x14ac:dyDescent="0.25">
      <c r="A161" s="923"/>
      <c r="B161" s="357" t="s">
        <v>151</v>
      </c>
      <c r="C161" s="355" t="s">
        <v>557</v>
      </c>
      <c r="D161" s="356">
        <v>73465</v>
      </c>
      <c r="E161" s="360">
        <v>45064</v>
      </c>
      <c r="F161" s="343">
        <v>45126</v>
      </c>
      <c r="G161" s="502">
        <v>562141.98</v>
      </c>
    </row>
    <row r="162" spans="1:7" s="23" customFormat="1" ht="33.75" x14ac:dyDescent="0.25">
      <c r="A162" s="923"/>
      <c r="B162" s="357" t="s">
        <v>275</v>
      </c>
      <c r="C162" s="355" t="s">
        <v>575</v>
      </c>
      <c r="D162" s="356">
        <v>74681</v>
      </c>
      <c r="E162" s="360">
        <v>45113</v>
      </c>
      <c r="F162" s="343">
        <v>45145</v>
      </c>
      <c r="G162" s="502">
        <v>60000</v>
      </c>
    </row>
    <row r="163" spans="1:7" s="23" customFormat="1" ht="22.5" x14ac:dyDescent="0.25">
      <c r="A163" s="923"/>
      <c r="B163" s="357" t="s">
        <v>151</v>
      </c>
      <c r="C163" s="355" t="s">
        <v>612</v>
      </c>
      <c r="D163" s="356">
        <v>78844</v>
      </c>
      <c r="E163" s="360">
        <v>45351</v>
      </c>
      <c r="F163" s="343">
        <v>45380</v>
      </c>
      <c r="G163" s="502">
        <v>427113.34</v>
      </c>
    </row>
    <row r="164" spans="1:7" s="23" customFormat="1" ht="22.5" x14ac:dyDescent="0.25">
      <c r="A164" s="923"/>
      <c r="B164" s="357" t="s">
        <v>238</v>
      </c>
      <c r="C164" s="355" t="s">
        <v>658</v>
      </c>
      <c r="D164" s="356">
        <v>79223</v>
      </c>
      <c r="E164" s="360">
        <v>45379.999988425923</v>
      </c>
      <c r="F164" s="343">
        <v>45411.999988425923</v>
      </c>
      <c r="G164" s="502">
        <v>1374482.59</v>
      </c>
    </row>
    <row r="165" spans="1:7" s="23" customFormat="1" ht="22.5" x14ac:dyDescent="0.25">
      <c r="A165" s="923"/>
      <c r="B165" s="357" t="s">
        <v>238</v>
      </c>
      <c r="C165" s="355" t="s">
        <v>658</v>
      </c>
      <c r="D165" s="356">
        <v>84202</v>
      </c>
      <c r="E165" s="360">
        <v>45582.000706018516</v>
      </c>
      <c r="F165" s="343">
        <v>45600.999988425923</v>
      </c>
      <c r="G165" s="502">
        <v>370091.21</v>
      </c>
    </row>
    <row r="166" spans="1:7" s="23" customFormat="1" ht="22.5" x14ac:dyDescent="0.25">
      <c r="A166" s="923" t="s">
        <v>355</v>
      </c>
      <c r="B166" s="357" t="s">
        <v>539</v>
      </c>
      <c r="C166" s="355" t="s">
        <v>326</v>
      </c>
      <c r="D166" s="356">
        <v>49102</v>
      </c>
      <c r="E166" s="360">
        <v>44042</v>
      </c>
      <c r="F166" s="343">
        <v>44227</v>
      </c>
      <c r="G166" s="502">
        <v>330000</v>
      </c>
    </row>
    <row r="167" spans="1:7" s="23" customFormat="1" ht="22.5" x14ac:dyDescent="0.25">
      <c r="A167" s="923"/>
      <c r="B167" s="371" t="s">
        <v>538</v>
      </c>
      <c r="C167" s="355" t="s">
        <v>327</v>
      </c>
      <c r="D167" s="356">
        <v>48962</v>
      </c>
      <c r="E167" s="360">
        <v>44042</v>
      </c>
      <c r="F167" s="343">
        <v>44227</v>
      </c>
      <c r="G167" s="502">
        <v>390000</v>
      </c>
    </row>
    <row r="168" spans="1:7" s="23" customFormat="1" ht="22.5" x14ac:dyDescent="0.25">
      <c r="A168" s="923"/>
      <c r="B168" s="371" t="s">
        <v>538</v>
      </c>
      <c r="C168" s="355" t="s">
        <v>328</v>
      </c>
      <c r="D168" s="356">
        <v>49081</v>
      </c>
      <c r="E168" s="360">
        <v>44042</v>
      </c>
      <c r="F168" s="343">
        <v>44227</v>
      </c>
      <c r="G168" s="510">
        <v>1125738.79</v>
      </c>
    </row>
    <row r="169" spans="1:7" s="23" customFormat="1" ht="33.75" x14ac:dyDescent="0.25">
      <c r="A169" s="923"/>
      <c r="B169" s="371" t="s">
        <v>538</v>
      </c>
      <c r="C169" s="355" t="s">
        <v>329</v>
      </c>
      <c r="D169" s="356">
        <v>49101</v>
      </c>
      <c r="E169" s="360">
        <v>44042</v>
      </c>
      <c r="F169" s="343">
        <v>44227</v>
      </c>
      <c r="G169" s="502">
        <v>797004.93</v>
      </c>
    </row>
    <row r="170" spans="1:7" s="23" customFormat="1" ht="22.5" x14ac:dyDescent="0.25">
      <c r="A170" s="923"/>
      <c r="B170" s="357" t="s">
        <v>245</v>
      </c>
      <c r="C170" s="355" t="s">
        <v>389</v>
      </c>
      <c r="D170" s="356">
        <v>53361</v>
      </c>
      <c r="E170" s="360">
        <v>44235</v>
      </c>
      <c r="F170" s="343">
        <v>44397</v>
      </c>
      <c r="G170" s="502">
        <v>200000</v>
      </c>
    </row>
    <row r="171" spans="1:7" s="23" customFormat="1" x14ac:dyDescent="0.25">
      <c r="A171" s="923"/>
      <c r="B171" s="357" t="s">
        <v>242</v>
      </c>
      <c r="C171" s="355" t="s">
        <v>388</v>
      </c>
      <c r="D171" s="356">
        <v>52501</v>
      </c>
      <c r="E171" s="360">
        <v>44235</v>
      </c>
      <c r="F171" s="343">
        <v>44397</v>
      </c>
      <c r="G171" s="502">
        <v>222750</v>
      </c>
    </row>
    <row r="172" spans="1:7" s="23" customFormat="1" ht="22.5" x14ac:dyDescent="0.25">
      <c r="A172" s="923"/>
      <c r="B172" s="511" t="s">
        <v>275</v>
      </c>
      <c r="C172" s="512" t="s">
        <v>501</v>
      </c>
      <c r="D172" s="509">
        <v>61903</v>
      </c>
      <c r="E172" s="360">
        <v>44623</v>
      </c>
      <c r="F172" s="343">
        <v>44683</v>
      </c>
      <c r="G172" s="510">
        <v>330000</v>
      </c>
    </row>
    <row r="173" spans="1:7" s="23" customFormat="1" x14ac:dyDescent="0.25">
      <c r="A173" s="923"/>
      <c r="B173" s="511" t="s">
        <v>151</v>
      </c>
      <c r="C173" s="512" t="s">
        <v>662</v>
      </c>
      <c r="D173" s="509">
        <v>82942</v>
      </c>
      <c r="E173" s="360">
        <v>45512.000011574077</v>
      </c>
      <c r="F173" s="343">
        <v>45548</v>
      </c>
      <c r="G173" s="510">
        <v>100000</v>
      </c>
    </row>
    <row r="174" spans="1:7" s="23" customFormat="1" ht="33.75" x14ac:dyDescent="0.25">
      <c r="A174" s="923"/>
      <c r="B174" s="511" t="s">
        <v>245</v>
      </c>
      <c r="C174" s="512" t="s">
        <v>663</v>
      </c>
      <c r="D174" s="509">
        <v>83102</v>
      </c>
      <c r="E174" s="360">
        <v>45504.000011574077</v>
      </c>
      <c r="F174" s="343">
        <v>45544</v>
      </c>
      <c r="G174" s="510">
        <v>1000000</v>
      </c>
    </row>
    <row r="175" spans="1:7" s="23" customFormat="1" ht="33.75" x14ac:dyDescent="0.25">
      <c r="A175" s="923" t="s">
        <v>356</v>
      </c>
      <c r="B175" s="357" t="s">
        <v>238</v>
      </c>
      <c r="C175" s="355" t="s">
        <v>377</v>
      </c>
      <c r="D175" s="356">
        <v>51708</v>
      </c>
      <c r="E175" s="360">
        <v>44194</v>
      </c>
      <c r="F175" s="343">
        <v>44575</v>
      </c>
      <c r="G175" s="502">
        <v>820000</v>
      </c>
    </row>
    <row r="176" spans="1:7" s="23" customFormat="1" ht="45" x14ac:dyDescent="0.25">
      <c r="A176" s="923"/>
      <c r="B176" s="357" t="s">
        <v>275</v>
      </c>
      <c r="C176" s="355" t="s">
        <v>419</v>
      </c>
      <c r="D176" s="356">
        <v>60521</v>
      </c>
      <c r="E176" s="360">
        <v>44497</v>
      </c>
      <c r="F176" s="343">
        <v>44592</v>
      </c>
      <c r="G176" s="502">
        <v>3600</v>
      </c>
    </row>
    <row r="177" spans="1:7" s="23" customFormat="1" ht="22.5" x14ac:dyDescent="0.25">
      <c r="A177" s="923"/>
      <c r="B177" s="357" t="s">
        <v>242</v>
      </c>
      <c r="C177" s="355" t="s">
        <v>464</v>
      </c>
      <c r="D177" s="356">
        <v>60645</v>
      </c>
      <c r="E177" s="360">
        <v>44504</v>
      </c>
      <c r="F177" s="343">
        <v>44592</v>
      </c>
      <c r="G177" s="502">
        <v>440000</v>
      </c>
    </row>
    <row r="178" spans="1:7" s="23" customFormat="1" ht="45" x14ac:dyDescent="0.25">
      <c r="A178" s="923"/>
      <c r="B178" s="357" t="s">
        <v>242</v>
      </c>
      <c r="C178" s="355" t="s">
        <v>419</v>
      </c>
      <c r="D178" s="356">
        <v>60721</v>
      </c>
      <c r="E178" s="360">
        <v>44504</v>
      </c>
      <c r="F178" s="343">
        <v>44592</v>
      </c>
      <c r="G178" s="502">
        <v>100000</v>
      </c>
    </row>
    <row r="179" spans="1:7" s="23" customFormat="1" ht="45" x14ac:dyDescent="0.25">
      <c r="A179" s="923"/>
      <c r="B179" s="357" t="s">
        <v>538</v>
      </c>
      <c r="C179" s="355" t="s">
        <v>478</v>
      </c>
      <c r="D179" s="356">
        <v>66601</v>
      </c>
      <c r="E179" s="360">
        <v>44770</v>
      </c>
      <c r="F179" s="343">
        <v>44827</v>
      </c>
      <c r="G179" s="502">
        <v>75000</v>
      </c>
    </row>
    <row r="180" spans="1:7" s="23" customFormat="1" ht="22.5" x14ac:dyDescent="0.25">
      <c r="A180" s="923"/>
      <c r="B180" s="357" t="s">
        <v>245</v>
      </c>
      <c r="C180" s="355" t="s">
        <v>535</v>
      </c>
      <c r="D180" s="356">
        <v>66541</v>
      </c>
      <c r="E180" s="360">
        <v>44546</v>
      </c>
      <c r="F180" s="343">
        <v>44848</v>
      </c>
      <c r="G180" s="502">
        <v>735000</v>
      </c>
    </row>
    <row r="181" spans="1:7" s="23" customFormat="1" ht="33.75" x14ac:dyDescent="0.25">
      <c r="A181" s="923"/>
      <c r="B181" s="357" t="s">
        <v>538</v>
      </c>
      <c r="C181" s="355" t="s">
        <v>574</v>
      </c>
      <c r="D181" s="356">
        <v>68062</v>
      </c>
      <c r="E181" s="360">
        <v>44537</v>
      </c>
      <c r="F181" s="343">
        <v>44937</v>
      </c>
      <c r="G181" s="502">
        <v>660000</v>
      </c>
    </row>
    <row r="182" spans="1:7" s="23" customFormat="1" ht="22.5" x14ac:dyDescent="0.25">
      <c r="A182" s="923"/>
      <c r="B182" s="357" t="s">
        <v>538</v>
      </c>
      <c r="C182" s="355" t="s">
        <v>540</v>
      </c>
      <c r="D182" s="356">
        <v>69341</v>
      </c>
      <c r="E182" s="360">
        <v>44889</v>
      </c>
      <c r="F182" s="360">
        <v>44908</v>
      </c>
      <c r="G182" s="502">
        <v>149700</v>
      </c>
    </row>
    <row r="183" spans="1:7" s="23" customFormat="1" ht="45" x14ac:dyDescent="0.25">
      <c r="A183" s="923"/>
      <c r="B183" s="357" t="s">
        <v>538</v>
      </c>
      <c r="C183" s="355" t="s">
        <v>541</v>
      </c>
      <c r="D183" s="356">
        <v>69302</v>
      </c>
      <c r="E183" s="360">
        <v>44889</v>
      </c>
      <c r="F183" s="360">
        <v>44906</v>
      </c>
      <c r="G183" s="502">
        <v>314232</v>
      </c>
    </row>
    <row r="184" spans="1:7" s="23" customFormat="1" ht="22.5" x14ac:dyDescent="0.25">
      <c r="A184" s="923"/>
      <c r="B184" s="357" t="s">
        <v>539</v>
      </c>
      <c r="C184" s="355" t="s">
        <v>540</v>
      </c>
      <c r="D184" s="356">
        <v>69601</v>
      </c>
      <c r="E184" s="360">
        <v>44896</v>
      </c>
      <c r="F184" s="360">
        <v>44906</v>
      </c>
      <c r="G184" s="502">
        <v>20000</v>
      </c>
    </row>
    <row r="185" spans="1:7" s="23" customFormat="1" ht="33.75" x14ac:dyDescent="0.25">
      <c r="A185" s="923"/>
      <c r="B185" s="357" t="s">
        <v>238</v>
      </c>
      <c r="C185" s="355" t="s">
        <v>377</v>
      </c>
      <c r="D185" s="356">
        <v>78181</v>
      </c>
      <c r="E185" s="360">
        <v>45316</v>
      </c>
      <c r="F185" s="360">
        <v>45352</v>
      </c>
      <c r="G185" s="502">
        <v>500000</v>
      </c>
    </row>
    <row r="186" spans="1:7" s="23" customFormat="1" ht="22.5" x14ac:dyDescent="0.25">
      <c r="A186" s="923"/>
      <c r="B186" s="357" t="s">
        <v>242</v>
      </c>
      <c r="C186" s="355" t="s">
        <v>605</v>
      </c>
      <c r="D186" s="356">
        <v>78364</v>
      </c>
      <c r="E186" s="360">
        <v>45323</v>
      </c>
      <c r="F186" s="360">
        <v>45359</v>
      </c>
      <c r="G186" s="502">
        <v>200000</v>
      </c>
    </row>
    <row r="187" spans="1:7" s="23" customFormat="1" ht="22.5" x14ac:dyDescent="0.25">
      <c r="A187" s="923"/>
      <c r="B187" s="357" t="s">
        <v>539</v>
      </c>
      <c r="C187" s="355" t="s">
        <v>606</v>
      </c>
      <c r="D187" s="356">
        <v>78381</v>
      </c>
      <c r="E187" s="360">
        <v>45323</v>
      </c>
      <c r="F187" s="360">
        <v>45359</v>
      </c>
      <c r="G187" s="502">
        <v>200000</v>
      </c>
    </row>
    <row r="188" spans="1:7" s="23" customFormat="1" x14ac:dyDescent="0.25">
      <c r="A188" s="924" t="s">
        <v>278</v>
      </c>
      <c r="B188" s="357" t="s">
        <v>245</v>
      </c>
      <c r="C188" s="355" t="s">
        <v>428</v>
      </c>
      <c r="D188" s="356">
        <v>38362</v>
      </c>
      <c r="E188" s="360">
        <v>43815</v>
      </c>
      <c r="F188" s="343">
        <v>44043</v>
      </c>
      <c r="G188" s="502">
        <v>428475.25</v>
      </c>
    </row>
    <row r="189" spans="1:7" s="23" customFormat="1" ht="33.75" x14ac:dyDescent="0.25">
      <c r="A189" s="924"/>
      <c r="B189" s="357" t="s">
        <v>242</v>
      </c>
      <c r="C189" s="358" t="s">
        <v>490</v>
      </c>
      <c r="D189" s="356">
        <v>41341</v>
      </c>
      <c r="E189" s="360">
        <v>43885</v>
      </c>
      <c r="F189" s="343">
        <v>44089</v>
      </c>
      <c r="G189" s="502">
        <v>40888.679999999993</v>
      </c>
    </row>
    <row r="190" spans="1:7" s="23" customFormat="1" ht="22.5" x14ac:dyDescent="0.25">
      <c r="A190" s="924"/>
      <c r="B190" s="371" t="s">
        <v>538</v>
      </c>
      <c r="C190" s="355" t="s">
        <v>429</v>
      </c>
      <c r="D190" s="356">
        <v>41442</v>
      </c>
      <c r="E190" s="360">
        <v>43885</v>
      </c>
      <c r="F190" s="343">
        <v>44089</v>
      </c>
      <c r="G190" s="502">
        <v>40602.1</v>
      </c>
    </row>
    <row r="191" spans="1:7" s="23" customFormat="1" ht="45" x14ac:dyDescent="0.25">
      <c r="A191" s="924"/>
      <c r="B191" s="371" t="s">
        <v>538</v>
      </c>
      <c r="C191" s="355" t="s">
        <v>430</v>
      </c>
      <c r="D191" s="356">
        <v>41561</v>
      </c>
      <c r="E191" s="360">
        <v>43885</v>
      </c>
      <c r="F191" s="343">
        <v>44089</v>
      </c>
      <c r="G191" s="502">
        <v>20139</v>
      </c>
    </row>
    <row r="192" spans="1:7" s="23" customFormat="1" ht="33.75" x14ac:dyDescent="0.25">
      <c r="A192" s="924"/>
      <c r="B192" s="371" t="s">
        <v>538</v>
      </c>
      <c r="C192" s="355" t="s">
        <v>431</v>
      </c>
      <c r="D192" s="356">
        <v>41644</v>
      </c>
      <c r="E192" s="360">
        <v>43885</v>
      </c>
      <c r="F192" s="343">
        <v>44089</v>
      </c>
      <c r="G192" s="502">
        <v>0</v>
      </c>
    </row>
    <row r="193" spans="1:7" s="23" customFormat="1" ht="45" x14ac:dyDescent="0.25">
      <c r="A193" s="924"/>
      <c r="B193" s="357" t="s">
        <v>539</v>
      </c>
      <c r="C193" s="355" t="s">
        <v>432</v>
      </c>
      <c r="D193" s="356">
        <v>41721</v>
      </c>
      <c r="E193" s="360">
        <v>43885</v>
      </c>
      <c r="F193" s="343">
        <v>44089</v>
      </c>
      <c r="G193" s="502">
        <v>124866.15000000001</v>
      </c>
    </row>
    <row r="194" spans="1:7" s="23" customFormat="1" ht="33.75" x14ac:dyDescent="0.25">
      <c r="A194" s="924"/>
      <c r="B194" s="357" t="s">
        <v>365</v>
      </c>
      <c r="C194" s="503" t="s">
        <v>491</v>
      </c>
      <c r="D194" s="356">
        <v>67282</v>
      </c>
      <c r="E194" s="360">
        <v>44819</v>
      </c>
      <c r="F194" s="343">
        <v>44900</v>
      </c>
      <c r="G194" s="504">
        <v>173502.19</v>
      </c>
    </row>
    <row r="195" spans="1:7" s="23" customFormat="1" ht="33.75" x14ac:dyDescent="0.25">
      <c r="A195" s="924"/>
      <c r="B195" s="357" t="s">
        <v>245</v>
      </c>
      <c r="C195" s="355" t="s">
        <v>558</v>
      </c>
      <c r="D195" s="356">
        <v>72243</v>
      </c>
      <c r="E195" s="343">
        <v>45023</v>
      </c>
      <c r="F195" s="343">
        <v>45114</v>
      </c>
      <c r="G195" s="502">
        <v>1000000</v>
      </c>
    </row>
    <row r="196" spans="1:7" s="23" customFormat="1" ht="45" x14ac:dyDescent="0.25">
      <c r="A196" s="924"/>
      <c r="B196" s="357" t="s">
        <v>275</v>
      </c>
      <c r="C196" s="355" t="s">
        <v>600</v>
      </c>
      <c r="D196" s="356">
        <v>78265</v>
      </c>
      <c r="E196" s="360">
        <v>45327</v>
      </c>
      <c r="F196" s="343">
        <v>45362</v>
      </c>
      <c r="G196" s="502">
        <v>70477.55</v>
      </c>
    </row>
    <row r="197" spans="1:7" s="23" customFormat="1" ht="33.75" x14ac:dyDescent="0.25">
      <c r="A197" s="924"/>
      <c r="B197" s="357" t="s">
        <v>151</v>
      </c>
      <c r="C197" s="355" t="s">
        <v>604</v>
      </c>
      <c r="D197" s="356">
        <v>78268</v>
      </c>
      <c r="E197" s="360">
        <v>45327</v>
      </c>
      <c r="F197" s="343">
        <v>45362</v>
      </c>
      <c r="G197" s="502">
        <v>119038.9</v>
      </c>
    </row>
    <row r="198" spans="1:7" s="23" customFormat="1" ht="33.75" x14ac:dyDescent="0.25">
      <c r="A198" s="924"/>
      <c r="B198" s="357" t="s">
        <v>151</v>
      </c>
      <c r="C198" s="355" t="s">
        <v>601</v>
      </c>
      <c r="D198" s="356">
        <v>78301</v>
      </c>
      <c r="E198" s="360">
        <v>45327</v>
      </c>
      <c r="F198" s="343">
        <v>45362</v>
      </c>
      <c r="G198" s="502">
        <v>316000</v>
      </c>
    </row>
    <row r="199" spans="1:7" s="23" customFormat="1" ht="33.75" x14ac:dyDescent="0.25">
      <c r="A199" s="924"/>
      <c r="B199" s="357" t="s">
        <v>151</v>
      </c>
      <c r="C199" s="355" t="s">
        <v>602</v>
      </c>
      <c r="D199" s="356">
        <v>78303</v>
      </c>
      <c r="E199" s="360">
        <v>45327</v>
      </c>
      <c r="F199" s="343">
        <v>45362</v>
      </c>
      <c r="G199" s="502">
        <v>158528.98000000001</v>
      </c>
    </row>
    <row r="200" spans="1:7" s="23" customFormat="1" ht="33.75" x14ac:dyDescent="0.25">
      <c r="A200" s="924"/>
      <c r="B200" s="357" t="s">
        <v>151</v>
      </c>
      <c r="C200" s="355" t="s">
        <v>603</v>
      </c>
      <c r="D200" s="356">
        <v>78304</v>
      </c>
      <c r="E200" s="360">
        <v>45327</v>
      </c>
      <c r="F200" s="343">
        <v>45362</v>
      </c>
      <c r="G200" s="502">
        <v>158000</v>
      </c>
    </row>
    <row r="201" spans="1:7" s="23" customFormat="1" ht="56.25" x14ac:dyDescent="0.25">
      <c r="A201" s="923" t="s">
        <v>354</v>
      </c>
      <c r="B201" s="357" t="s">
        <v>63</v>
      </c>
      <c r="C201" s="355" t="s">
        <v>436</v>
      </c>
      <c r="D201" s="356">
        <v>31326</v>
      </c>
      <c r="E201" s="360">
        <v>43657</v>
      </c>
      <c r="F201" s="343">
        <v>43819.999988425923</v>
      </c>
      <c r="G201" s="502">
        <v>443715</v>
      </c>
    </row>
    <row r="202" spans="1:7" s="23" customFormat="1" ht="22.5" x14ac:dyDescent="0.25">
      <c r="A202" s="923"/>
      <c r="B202" s="357" t="s">
        <v>63</v>
      </c>
      <c r="C202" s="355" t="s">
        <v>437</v>
      </c>
      <c r="D202" s="356">
        <v>32565</v>
      </c>
      <c r="E202" s="360">
        <v>43734</v>
      </c>
      <c r="F202" s="343">
        <v>44161</v>
      </c>
      <c r="G202" s="502">
        <v>300000</v>
      </c>
    </row>
    <row r="203" spans="1:7" s="23" customFormat="1" ht="45" x14ac:dyDescent="0.25">
      <c r="A203" s="923"/>
      <c r="B203" s="357" t="s">
        <v>242</v>
      </c>
      <c r="C203" s="355" t="s">
        <v>438</v>
      </c>
      <c r="D203" s="356">
        <v>36701</v>
      </c>
      <c r="E203" s="360">
        <v>43776</v>
      </c>
      <c r="F203" s="343">
        <v>43893</v>
      </c>
      <c r="G203" s="502">
        <v>1102537.9099999999</v>
      </c>
    </row>
    <row r="204" spans="1:7" s="23" customFormat="1" ht="56.25" x14ac:dyDescent="0.25">
      <c r="A204" s="923"/>
      <c r="B204" s="357" t="s">
        <v>613</v>
      </c>
      <c r="C204" s="355" t="s">
        <v>614</v>
      </c>
      <c r="D204" s="356" t="s">
        <v>615</v>
      </c>
      <c r="E204" s="360">
        <v>44497</v>
      </c>
      <c r="F204" s="343">
        <v>45473</v>
      </c>
      <c r="G204" s="495" t="s">
        <v>668</v>
      </c>
    </row>
    <row r="205" spans="1:7" s="23" customFormat="1" ht="56.25" x14ac:dyDescent="0.25">
      <c r="A205" s="923"/>
      <c r="B205" s="357" t="s">
        <v>151</v>
      </c>
      <c r="C205" s="355" t="s">
        <v>522</v>
      </c>
      <c r="D205" s="356">
        <v>61707</v>
      </c>
      <c r="E205" s="360">
        <v>44574</v>
      </c>
      <c r="F205" s="343">
        <v>44742</v>
      </c>
      <c r="G205" s="502">
        <v>300000</v>
      </c>
    </row>
    <row r="206" spans="1:7" s="23" customFormat="1" ht="33.75" x14ac:dyDescent="0.25">
      <c r="A206" s="923"/>
      <c r="B206" s="357" t="s">
        <v>538</v>
      </c>
      <c r="C206" s="355" t="s">
        <v>559</v>
      </c>
      <c r="D206" s="356">
        <v>71102</v>
      </c>
      <c r="E206" s="360">
        <v>45029</v>
      </c>
      <c r="F206" s="343">
        <v>45092</v>
      </c>
      <c r="G206" s="502">
        <v>900000</v>
      </c>
    </row>
    <row r="207" spans="1:7" s="23" customFormat="1" ht="56.25" x14ac:dyDescent="0.25">
      <c r="A207" s="923"/>
      <c r="B207" s="357" t="s">
        <v>63</v>
      </c>
      <c r="C207" s="355" t="s">
        <v>593</v>
      </c>
      <c r="D207" s="356">
        <v>75781</v>
      </c>
      <c r="E207" s="360">
        <v>45218</v>
      </c>
      <c r="F207" s="343">
        <v>45384</v>
      </c>
      <c r="G207" s="502">
        <v>150000</v>
      </c>
    </row>
    <row r="208" spans="1:7" s="23" customFormat="1" ht="67.5" x14ac:dyDescent="0.25">
      <c r="A208" s="923"/>
      <c r="B208" s="357" t="s">
        <v>273</v>
      </c>
      <c r="C208" s="355" t="s">
        <v>607</v>
      </c>
      <c r="D208" s="356">
        <v>78142</v>
      </c>
      <c r="E208" s="360">
        <v>45316</v>
      </c>
      <c r="F208" s="343">
        <v>45473</v>
      </c>
      <c r="G208" s="502">
        <v>600000</v>
      </c>
    </row>
    <row r="209" spans="1:7" s="23" customFormat="1" ht="22.5" x14ac:dyDescent="0.25">
      <c r="A209" s="923"/>
      <c r="B209" s="357" t="s">
        <v>245</v>
      </c>
      <c r="C209" s="355" t="s">
        <v>608</v>
      </c>
      <c r="D209" s="356">
        <v>78541</v>
      </c>
      <c r="E209" s="360">
        <v>45343</v>
      </c>
      <c r="F209" s="343">
        <v>45473</v>
      </c>
      <c r="G209" s="502">
        <v>400000</v>
      </c>
    </row>
    <row r="210" spans="1:7" s="23" customFormat="1" ht="33.75" x14ac:dyDescent="0.25">
      <c r="A210" s="923"/>
      <c r="B210" s="357" t="s">
        <v>538</v>
      </c>
      <c r="C210" s="355" t="s">
        <v>559</v>
      </c>
      <c r="D210" s="356">
        <v>79545</v>
      </c>
      <c r="E210" s="360">
        <v>45400</v>
      </c>
      <c r="F210" s="360">
        <v>45473</v>
      </c>
      <c r="G210" s="502">
        <v>448531.89</v>
      </c>
    </row>
    <row r="211" spans="1:7" s="23" customFormat="1" ht="22.5" x14ac:dyDescent="0.25">
      <c r="A211" s="923"/>
      <c r="B211" s="357" t="s">
        <v>613</v>
      </c>
      <c r="C211" s="355" t="s">
        <v>666</v>
      </c>
      <c r="D211" s="356">
        <v>82243</v>
      </c>
      <c r="E211" s="360">
        <v>45484.000011574077</v>
      </c>
      <c r="F211" s="343">
        <v>45504.999988425923</v>
      </c>
      <c r="G211" s="350">
        <v>2032005</v>
      </c>
    </row>
    <row r="212" spans="1:7" s="23" customFormat="1" ht="22.5" x14ac:dyDescent="0.25">
      <c r="A212" s="923"/>
      <c r="B212" s="357" t="s">
        <v>273</v>
      </c>
      <c r="C212" s="355" t="s">
        <v>714</v>
      </c>
      <c r="D212" s="356">
        <v>85742</v>
      </c>
      <c r="E212" s="360">
        <v>45820</v>
      </c>
      <c r="F212" s="360">
        <v>45856</v>
      </c>
      <c r="G212" s="502">
        <v>1602374.97</v>
      </c>
    </row>
    <row r="213" spans="1:7" s="23" customFormat="1" ht="22.5" x14ac:dyDescent="0.25">
      <c r="A213" s="924" t="s">
        <v>279</v>
      </c>
      <c r="B213" s="357" t="s">
        <v>242</v>
      </c>
      <c r="C213" s="355" t="s">
        <v>433</v>
      </c>
      <c r="D213" s="356">
        <v>40461</v>
      </c>
      <c r="E213" s="360">
        <v>43879</v>
      </c>
      <c r="F213" s="343">
        <v>44073</v>
      </c>
      <c r="G213" s="502">
        <v>601729.67000000004</v>
      </c>
    </row>
    <row r="214" spans="1:7" s="23" customFormat="1" ht="22.5" x14ac:dyDescent="0.25">
      <c r="A214" s="924"/>
      <c r="B214" s="371" t="s">
        <v>538</v>
      </c>
      <c r="C214" s="355" t="s">
        <v>434</v>
      </c>
      <c r="D214" s="356">
        <v>40742</v>
      </c>
      <c r="E214" s="360">
        <v>43879</v>
      </c>
      <c r="F214" s="343">
        <v>44073</v>
      </c>
      <c r="G214" s="502">
        <v>269122.40000000002</v>
      </c>
    </row>
    <row r="215" spans="1:7" s="23" customFormat="1" ht="22.5" x14ac:dyDescent="0.25">
      <c r="A215" s="924"/>
      <c r="B215" s="357" t="s">
        <v>539</v>
      </c>
      <c r="C215" s="355" t="s">
        <v>435</v>
      </c>
      <c r="D215" s="356">
        <v>41041</v>
      </c>
      <c r="E215" s="360">
        <v>43879</v>
      </c>
      <c r="F215" s="343">
        <v>44073</v>
      </c>
      <c r="G215" s="502">
        <v>671362.16</v>
      </c>
    </row>
    <row r="216" spans="1:7" s="23" customFormat="1" ht="22.5" x14ac:dyDescent="0.25">
      <c r="A216" s="924"/>
      <c r="B216" s="357" t="s">
        <v>539</v>
      </c>
      <c r="C216" s="355" t="s">
        <v>301</v>
      </c>
      <c r="D216" s="356">
        <v>41062</v>
      </c>
      <c r="E216" s="360">
        <v>43879</v>
      </c>
      <c r="F216" s="343">
        <v>44073</v>
      </c>
      <c r="G216" s="502">
        <v>309485.85000000003</v>
      </c>
    </row>
    <row r="217" spans="1:7" s="23" customFormat="1" ht="45" x14ac:dyDescent="0.25">
      <c r="A217" s="924"/>
      <c r="B217" s="357" t="s">
        <v>275</v>
      </c>
      <c r="C217" s="355" t="s">
        <v>374</v>
      </c>
      <c r="D217" s="356">
        <v>52221</v>
      </c>
      <c r="E217" s="360">
        <v>44187</v>
      </c>
      <c r="F217" s="343">
        <v>44408</v>
      </c>
      <c r="G217" s="502">
        <v>399171.2</v>
      </c>
    </row>
    <row r="218" spans="1:7" s="23" customFormat="1" ht="22.5" x14ac:dyDescent="0.25">
      <c r="A218" s="924"/>
      <c r="B218" s="357" t="s">
        <v>236</v>
      </c>
      <c r="C218" s="355" t="s">
        <v>469</v>
      </c>
      <c r="D218" s="356">
        <v>59362</v>
      </c>
      <c r="E218" s="360">
        <v>44477</v>
      </c>
      <c r="F218" s="343">
        <v>44592</v>
      </c>
      <c r="G218" s="502">
        <v>645129.9</v>
      </c>
    </row>
    <row r="219" spans="1:7" s="23" customFormat="1" ht="22.5" x14ac:dyDescent="0.25">
      <c r="A219" s="924"/>
      <c r="B219" s="357" t="s">
        <v>365</v>
      </c>
      <c r="C219" s="355" t="s">
        <v>523</v>
      </c>
      <c r="D219" s="357">
        <v>66442</v>
      </c>
      <c r="E219" s="360">
        <v>44609</v>
      </c>
      <c r="F219" s="343">
        <v>44660</v>
      </c>
      <c r="G219" s="502">
        <v>275000</v>
      </c>
    </row>
    <row r="220" spans="1:7" s="23" customFormat="1" ht="56.25" x14ac:dyDescent="0.25">
      <c r="A220" s="924"/>
      <c r="B220" s="357" t="s">
        <v>63</v>
      </c>
      <c r="C220" s="355" t="s">
        <v>525</v>
      </c>
      <c r="D220" s="356">
        <v>69642</v>
      </c>
      <c r="E220" s="360">
        <v>44609</v>
      </c>
      <c r="F220" s="343">
        <v>44938</v>
      </c>
      <c r="G220" s="507">
        <v>250000</v>
      </c>
    </row>
    <row r="221" spans="1:7" s="23" customFormat="1" ht="45" x14ac:dyDescent="0.25">
      <c r="A221" s="924"/>
      <c r="B221" s="357" t="s">
        <v>365</v>
      </c>
      <c r="C221" s="355" t="s">
        <v>524</v>
      </c>
      <c r="D221" s="356">
        <v>69583</v>
      </c>
      <c r="E221" s="360">
        <v>44609</v>
      </c>
      <c r="F221" s="343">
        <v>44938</v>
      </c>
      <c r="G221" s="507">
        <v>249178.82</v>
      </c>
    </row>
    <row r="222" spans="1:7" s="23" customFormat="1" ht="33.75" x14ac:dyDescent="0.25">
      <c r="A222" s="924"/>
      <c r="B222" s="357" t="s">
        <v>151</v>
      </c>
      <c r="C222" s="355" t="s">
        <v>566</v>
      </c>
      <c r="D222" s="356">
        <v>71947</v>
      </c>
      <c r="E222" s="360">
        <v>44475</v>
      </c>
      <c r="F222" s="343">
        <v>45048</v>
      </c>
      <c r="G222" s="502">
        <v>293333</v>
      </c>
    </row>
    <row r="223" spans="1:7" s="23" customFormat="1" ht="45" x14ac:dyDescent="0.25">
      <c r="A223" s="924"/>
      <c r="B223" s="357" t="s">
        <v>151</v>
      </c>
      <c r="C223" s="355" t="s">
        <v>567</v>
      </c>
      <c r="D223" s="356">
        <v>72004</v>
      </c>
      <c r="E223" s="360">
        <v>44503</v>
      </c>
      <c r="F223" s="343">
        <v>45048</v>
      </c>
      <c r="G223" s="502">
        <v>250000</v>
      </c>
    </row>
    <row r="224" spans="1:7" s="23" customFormat="1" ht="22.5" x14ac:dyDescent="0.25">
      <c r="A224" s="924"/>
      <c r="B224" s="357" t="s">
        <v>242</v>
      </c>
      <c r="C224" s="355" t="s">
        <v>433</v>
      </c>
      <c r="D224" s="356">
        <v>78622</v>
      </c>
      <c r="E224" s="360">
        <v>45337</v>
      </c>
      <c r="F224" s="343">
        <v>45381</v>
      </c>
      <c r="G224" s="502">
        <v>160000</v>
      </c>
    </row>
    <row r="225" spans="1:7" s="23" customFormat="1" ht="22.5" x14ac:dyDescent="0.25">
      <c r="A225" s="924"/>
      <c r="B225" s="357" t="s">
        <v>539</v>
      </c>
      <c r="C225" s="355" t="s">
        <v>536</v>
      </c>
      <c r="D225" s="356">
        <v>78627</v>
      </c>
      <c r="E225" s="360">
        <v>45337</v>
      </c>
      <c r="F225" s="343">
        <v>45381</v>
      </c>
      <c r="G225" s="502">
        <v>54018.6</v>
      </c>
    </row>
    <row r="226" spans="1:7" s="23" customFormat="1" ht="56.25" x14ac:dyDescent="0.25">
      <c r="A226" s="924"/>
      <c r="B226" s="357" t="s">
        <v>63</v>
      </c>
      <c r="C226" s="355" t="s">
        <v>525</v>
      </c>
      <c r="D226" s="356">
        <v>78628</v>
      </c>
      <c r="E226" s="360">
        <v>45337</v>
      </c>
      <c r="F226" s="343">
        <v>45381</v>
      </c>
      <c r="G226" s="502">
        <v>150000</v>
      </c>
    </row>
    <row r="227" spans="1:7" s="23" customFormat="1" ht="22.5" x14ac:dyDescent="0.25">
      <c r="A227" s="924"/>
      <c r="B227" s="357" t="s">
        <v>539</v>
      </c>
      <c r="C227" s="355" t="s">
        <v>536</v>
      </c>
      <c r="D227" s="356">
        <v>78642</v>
      </c>
      <c r="E227" s="360">
        <v>45337</v>
      </c>
      <c r="F227" s="343">
        <v>45381</v>
      </c>
      <c r="G227" s="502">
        <v>70000</v>
      </c>
    </row>
    <row r="228" spans="1:7" s="23" customFormat="1" ht="22.5" x14ac:dyDescent="0.25">
      <c r="A228" s="924"/>
      <c r="B228" s="357" t="s">
        <v>273</v>
      </c>
      <c r="C228" s="355" t="s">
        <v>714</v>
      </c>
      <c r="D228" s="356">
        <v>87742</v>
      </c>
      <c r="E228" s="360">
        <v>45834.000011574077</v>
      </c>
      <c r="F228" s="360">
        <v>45874.00068287037</v>
      </c>
      <c r="G228" s="502">
        <v>1456849.07</v>
      </c>
    </row>
    <row r="229" spans="1:7" s="23" customFormat="1" ht="22.9" customHeight="1" x14ac:dyDescent="0.25">
      <c r="A229" s="925" t="s">
        <v>128</v>
      </c>
      <c r="B229" s="926"/>
      <c r="C229" s="926"/>
      <c r="D229" s="926"/>
      <c r="E229" s="926"/>
      <c r="F229" s="927"/>
      <c r="G229" s="513">
        <f>SUM(G3:G228)</f>
        <v>85767067.039999992</v>
      </c>
    </row>
    <row r="231" spans="1:7" s="23" customFormat="1" ht="24" customHeight="1" x14ac:dyDescent="0.25">
      <c r="A231"/>
      <c r="B231"/>
      <c r="C231"/>
      <c r="D231"/>
      <c r="E231"/>
      <c r="F231"/>
      <c r="G231" s="185"/>
    </row>
    <row r="232" spans="1:7" s="23" customFormat="1" x14ac:dyDescent="0.25">
      <c r="A232"/>
      <c r="B232"/>
      <c r="C232"/>
      <c r="D232"/>
      <c r="E232"/>
      <c r="F232"/>
      <c r="G232" s="185"/>
    </row>
    <row r="233" spans="1:7" s="23" customFormat="1" x14ac:dyDescent="0.25">
      <c r="A233"/>
      <c r="B233"/>
      <c r="C233"/>
      <c r="D233"/>
      <c r="E233"/>
      <c r="F233"/>
      <c r="G233" s="185"/>
    </row>
    <row r="234" spans="1:7" s="23" customFormat="1" x14ac:dyDescent="0.25">
      <c r="A234"/>
      <c r="B234"/>
      <c r="C234"/>
      <c r="D234"/>
      <c r="E234"/>
      <c r="F234"/>
      <c r="G234" s="185"/>
    </row>
    <row r="235" spans="1:7" s="23" customFormat="1" x14ac:dyDescent="0.25">
      <c r="A235"/>
      <c r="B235"/>
      <c r="C235"/>
      <c r="D235"/>
      <c r="E235"/>
      <c r="F235"/>
      <c r="G235" s="185"/>
    </row>
    <row r="236" spans="1:7" s="23" customFormat="1" x14ac:dyDescent="0.25">
      <c r="A236"/>
      <c r="B236"/>
      <c r="C236"/>
      <c r="D236"/>
      <c r="E236"/>
      <c r="F236"/>
      <c r="G236" s="185"/>
    </row>
    <row r="237" spans="1:7" s="23" customFormat="1" x14ac:dyDescent="0.25">
      <c r="A237"/>
      <c r="B237"/>
      <c r="C237"/>
      <c r="D237"/>
      <c r="E237"/>
      <c r="F237"/>
      <c r="G237" s="185"/>
    </row>
    <row r="238" spans="1:7" s="23" customFormat="1" x14ac:dyDescent="0.25">
      <c r="A238"/>
      <c r="B238"/>
      <c r="C238"/>
      <c r="D238"/>
      <c r="E238"/>
      <c r="F238"/>
      <c r="G238" s="185"/>
    </row>
    <row r="239" spans="1:7" s="23" customFormat="1" x14ac:dyDescent="0.25">
      <c r="A239"/>
      <c r="B239"/>
      <c r="C239"/>
      <c r="D239"/>
      <c r="E239"/>
      <c r="F239"/>
      <c r="G239" s="185"/>
    </row>
    <row r="240" spans="1:7" s="23" customFormat="1" x14ac:dyDescent="0.25">
      <c r="A240"/>
      <c r="B240"/>
      <c r="C240"/>
      <c r="D240"/>
      <c r="E240"/>
      <c r="F240"/>
      <c r="G240" s="185"/>
    </row>
  </sheetData>
  <mergeCells count="19">
    <mergeCell ref="A122:A138"/>
    <mergeCell ref="A139:A147"/>
    <mergeCell ref="A148:A165"/>
    <mergeCell ref="A166:A174"/>
    <mergeCell ref="A45:A68"/>
    <mergeCell ref="A69:A86"/>
    <mergeCell ref="A87:A101"/>
    <mergeCell ref="A102:A112"/>
    <mergeCell ref="A113:A121"/>
    <mergeCell ref="A1:G1"/>
    <mergeCell ref="A3:A9"/>
    <mergeCell ref="A10:A22"/>
    <mergeCell ref="A23:A30"/>
    <mergeCell ref="A31:A44"/>
    <mergeCell ref="A175:A187"/>
    <mergeCell ref="A201:A212"/>
    <mergeCell ref="A188:A200"/>
    <mergeCell ref="A213:A228"/>
    <mergeCell ref="A229:F229"/>
  </mergeCells>
  <phoneticPr fontId="33" type="noConversion"/>
  <printOptions horizontalCentered="1"/>
  <pageMargins left="0.23622047244094491" right="0.23622047244094491" top="0.74803149606299213" bottom="0.74803149606299213" header="0.31496062992125984" footer="0.31496062992125984"/>
  <pageSetup paperSize="9" scale="51" orientation="portrait" r:id="rId1"/>
  <rowBreaks count="5" manualBreakCount="5">
    <brk id="44" max="16383" man="1"/>
    <brk id="86" max="16383" man="1"/>
    <brk id="121" max="16383" man="1"/>
    <brk id="165" max="16383" man="1"/>
    <brk id="20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9B149-1D9B-4EE4-A833-68A0AE00EF28}">
  <dimension ref="A1:E14"/>
  <sheetViews>
    <sheetView zoomScaleNormal="100" zoomScaleSheetLayoutView="100" workbookViewId="0">
      <selection activeCell="D6" sqref="D6"/>
    </sheetView>
  </sheetViews>
  <sheetFormatPr defaultColWidth="9.140625" defaultRowHeight="14.25" x14ac:dyDescent="0.2"/>
  <cols>
    <col min="1" max="1" width="42.5703125" style="8" bestFit="1" customWidth="1"/>
    <col min="2" max="2" width="22.140625" style="8" customWidth="1"/>
    <col min="3" max="3" width="27" style="8" customWidth="1"/>
    <col min="4" max="4" width="18" style="8" bestFit="1" customWidth="1"/>
    <col min="5" max="5" width="12" style="8" bestFit="1" customWidth="1"/>
    <col min="6" max="16384" width="9.140625" style="8"/>
  </cols>
  <sheetData>
    <row r="1" spans="1:5" ht="15.75" x14ac:dyDescent="0.2">
      <c r="A1" s="934" t="s">
        <v>697</v>
      </c>
      <c r="B1" s="934"/>
      <c r="C1" s="934"/>
      <c r="D1" s="934"/>
      <c r="E1" s="934"/>
    </row>
    <row r="2" spans="1:5" ht="15" customHeight="1" x14ac:dyDescent="0.2"/>
    <row r="3" spans="1:5" customFormat="1" ht="27" customHeight="1" x14ac:dyDescent="0.25">
      <c r="A3" s="929" t="s">
        <v>249</v>
      </c>
      <c r="B3" s="46" t="s">
        <v>576</v>
      </c>
      <c r="C3" s="46" t="s">
        <v>905</v>
      </c>
      <c r="D3" s="932" t="s">
        <v>577</v>
      </c>
      <c r="E3" s="932" t="s">
        <v>578</v>
      </c>
    </row>
    <row r="4" spans="1:5" customFormat="1" ht="15" x14ac:dyDescent="0.25">
      <c r="A4" s="930"/>
      <c r="B4" s="46" t="s">
        <v>698</v>
      </c>
      <c r="C4" s="46" t="s">
        <v>699</v>
      </c>
      <c r="D4" s="933"/>
      <c r="E4" s="933"/>
    </row>
    <row r="5" spans="1:5" customFormat="1" ht="18" x14ac:dyDescent="0.25">
      <c r="A5" s="930"/>
      <c r="B5" s="549" t="s">
        <v>305</v>
      </c>
      <c r="C5" s="549" t="s">
        <v>306</v>
      </c>
      <c r="D5" s="549" t="s">
        <v>579</v>
      </c>
      <c r="E5" s="549" t="s">
        <v>580</v>
      </c>
    </row>
    <row r="6" spans="1:5" customFormat="1" ht="18" x14ac:dyDescent="0.25">
      <c r="A6" s="931"/>
      <c r="B6" s="550">
        <v>800189491.42999995</v>
      </c>
      <c r="C6" s="550">
        <f>'Avanzamento_ SP_FEASR'!I58</f>
        <v>715781818.08960009</v>
      </c>
      <c r="D6" s="550">
        <f>C6-B6</f>
        <v>-84407673.340399861</v>
      </c>
      <c r="E6" s="551">
        <f>C6/B6</f>
        <v>0.89451539386057555</v>
      </c>
    </row>
    <row r="9" spans="1:5" customFormat="1" ht="25.5" x14ac:dyDescent="0.25">
      <c r="A9" s="929" t="s">
        <v>700</v>
      </c>
      <c r="B9" s="46" t="s">
        <v>576</v>
      </c>
      <c r="C9" s="46" t="s">
        <v>905</v>
      </c>
      <c r="D9" s="932" t="s">
        <v>577</v>
      </c>
      <c r="E9" s="932" t="s">
        <v>578</v>
      </c>
    </row>
    <row r="10" spans="1:5" customFormat="1" ht="15" x14ac:dyDescent="0.25">
      <c r="A10" s="930"/>
      <c r="B10" s="46" t="s">
        <v>701</v>
      </c>
      <c r="C10" s="46" t="s">
        <v>702</v>
      </c>
      <c r="D10" s="933"/>
      <c r="E10" s="933"/>
    </row>
    <row r="11" spans="1:5" customFormat="1" ht="18" x14ac:dyDescent="0.25">
      <c r="A11" s="930"/>
      <c r="B11" s="549" t="s">
        <v>305</v>
      </c>
      <c r="C11" s="549" t="s">
        <v>306</v>
      </c>
      <c r="D11" s="549" t="s">
        <v>579</v>
      </c>
      <c r="E11" s="549" t="s">
        <v>580</v>
      </c>
    </row>
    <row r="12" spans="1:5" customFormat="1" ht="18" x14ac:dyDescent="0.25">
      <c r="A12" s="931"/>
      <c r="B12" s="552">
        <v>62231539</v>
      </c>
      <c r="C12" s="552">
        <f>'AVANZAMENTO EURI'!G8</f>
        <v>55397480.969999999</v>
      </c>
      <c r="D12" s="552">
        <f>C12-B12</f>
        <v>-6834058.0300000012</v>
      </c>
      <c r="E12" s="553">
        <f>C12/B12</f>
        <v>0.89018336779361984</v>
      </c>
    </row>
    <row r="14" spans="1:5" ht="15" x14ac:dyDescent="0.25">
      <c r="C14" s="497"/>
    </row>
  </sheetData>
  <mergeCells count="7">
    <mergeCell ref="A9:A12"/>
    <mergeCell ref="D9:D10"/>
    <mergeCell ref="E9:E10"/>
    <mergeCell ref="A1:E1"/>
    <mergeCell ref="A3:A6"/>
    <mergeCell ref="D3:D4"/>
    <mergeCell ref="E3:E4"/>
  </mergeCells>
  <pageMargins left="0.7" right="0.7" top="0.75" bottom="0.75" header="0.3" footer="0.3"/>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41</vt:i4>
      </vt:variant>
      <vt:variant>
        <vt:lpstr>Intervalli denominati</vt:lpstr>
      </vt:variant>
      <vt:variant>
        <vt:i4>50</vt:i4>
      </vt:variant>
    </vt:vector>
  </HeadingPairs>
  <TitlesOfParts>
    <vt:vector size="91" baseType="lpstr">
      <vt:lpstr>Copertina</vt:lpstr>
      <vt:lpstr>Avanzamento_ SP_totale</vt:lpstr>
      <vt:lpstr>Avanzamento_ SP_FEASR</vt:lpstr>
      <vt:lpstr>AVANZAMENTO EURI</vt:lpstr>
      <vt:lpstr>AVANZAMENTO TOP UP</vt:lpstr>
      <vt:lpstr>Impegni PROGR 2014-2022</vt:lpstr>
      <vt:lpstr>Procedurale</vt:lpstr>
      <vt:lpstr>Procedurale bandi GAL</vt:lpstr>
      <vt:lpstr>N+3</vt:lpstr>
      <vt:lpstr> M01-M02</vt:lpstr>
      <vt:lpstr>M03</vt:lpstr>
      <vt:lpstr>PIF-MANIFESTAZIONI-DI INTERESSE</vt:lpstr>
      <vt:lpstr>M04</vt:lpstr>
      <vt:lpstr>M05</vt:lpstr>
      <vt:lpstr>M06</vt:lpstr>
      <vt:lpstr>M07</vt:lpstr>
      <vt:lpstr>M8_1</vt:lpstr>
      <vt:lpstr>M8.3-8.6</vt:lpstr>
      <vt:lpstr>M09</vt:lpstr>
      <vt:lpstr>M10.1 FEASR+EURI</vt:lpstr>
      <vt:lpstr>Dett. 10.1 FEASR+EURI+TOP UP</vt:lpstr>
      <vt:lpstr>M10.2</vt:lpstr>
      <vt:lpstr>M11</vt:lpstr>
      <vt:lpstr>Dettaglio M11 x bando</vt:lpstr>
      <vt:lpstr>M13</vt:lpstr>
      <vt:lpstr>M14</vt:lpstr>
      <vt:lpstr>M15</vt:lpstr>
      <vt:lpstr>M16</vt:lpstr>
      <vt:lpstr>M19</vt:lpstr>
      <vt:lpstr>M21</vt:lpstr>
      <vt:lpstr>Focus M19</vt:lpstr>
      <vt:lpstr>Focus M19.2</vt:lpstr>
      <vt:lpstr>GAL ANGLONA ROMANGIA</vt:lpstr>
      <vt:lpstr>GAL BARBAGIA_GAL BARIGADU</vt:lpstr>
      <vt:lpstr>GAL CAMPIDANO_GAL BMG</vt:lpstr>
      <vt:lpstr>GAL GALLURA_GAL LINAS</vt:lpstr>
      <vt:lpstr>GAL LOGUDORO_GAL MARGHINE</vt:lpstr>
      <vt:lpstr>GAL MARMILLA_GAL NUORESE B.</vt:lpstr>
      <vt:lpstr>GAL OGLIASTRA_GAL SARCIDANO</vt:lpstr>
      <vt:lpstr>GAL SGT_GAL SINIS</vt:lpstr>
      <vt:lpstr>GAL SULCIS_GAL TERRAS DE OLIA</vt:lpstr>
      <vt:lpstr>' M01-M02'!Area_stampa</vt:lpstr>
      <vt:lpstr>'AVANZAMENTO EURI'!Area_stampa</vt:lpstr>
      <vt:lpstr>'AVANZAMENTO TOP UP'!Area_stampa</vt:lpstr>
      <vt:lpstr>'Avanzamento_ SP_FEASR'!Area_stampa</vt:lpstr>
      <vt:lpstr>'Avanzamento_ SP_totale'!Area_stampa</vt:lpstr>
      <vt:lpstr>Copertina!Area_stampa</vt:lpstr>
      <vt:lpstr>'Dett. 10.1 FEASR+EURI+TOP UP'!Area_stampa</vt:lpstr>
      <vt:lpstr>'Dettaglio M11 x bando'!Area_stampa</vt:lpstr>
      <vt:lpstr>'Focus M19.2'!Area_stampa</vt:lpstr>
      <vt:lpstr>'GAL ANGLONA ROMANGIA'!Area_stampa</vt:lpstr>
      <vt:lpstr>'GAL BARBAGIA_GAL BARIGADU'!Area_stampa</vt:lpstr>
      <vt:lpstr>'GAL CAMPIDANO_GAL BMG'!Area_stampa</vt:lpstr>
      <vt:lpstr>'GAL GALLURA_GAL LINAS'!Area_stampa</vt:lpstr>
      <vt:lpstr>'GAL LOGUDORO_GAL MARGHINE'!Area_stampa</vt:lpstr>
      <vt:lpstr>'GAL MARMILLA_GAL NUORESE B.'!Area_stampa</vt:lpstr>
      <vt:lpstr>'GAL OGLIASTRA_GAL SARCIDANO'!Area_stampa</vt:lpstr>
      <vt:lpstr>'GAL SGT_GAL SINIS'!Area_stampa</vt:lpstr>
      <vt:lpstr>'GAL SULCIS_GAL TERRAS DE OLIA'!Area_stampa</vt:lpstr>
      <vt:lpstr>'Impegni PROGR 2014-2022'!Area_stampa</vt:lpstr>
      <vt:lpstr>'M03'!Area_stampa</vt:lpstr>
      <vt:lpstr>'M04'!Area_stampa</vt:lpstr>
      <vt:lpstr>'M05'!Area_stampa</vt:lpstr>
      <vt:lpstr>'M06'!Area_stampa</vt:lpstr>
      <vt:lpstr>'M07'!Area_stampa</vt:lpstr>
      <vt:lpstr>'M09'!Area_stampa</vt:lpstr>
      <vt:lpstr>'M10.1 FEASR+EURI'!Area_stampa</vt:lpstr>
      <vt:lpstr>M10.2!Area_stampa</vt:lpstr>
      <vt:lpstr>'M11'!Area_stampa</vt:lpstr>
      <vt:lpstr>'M13'!Area_stampa</vt:lpstr>
      <vt:lpstr>'M14'!Area_stampa</vt:lpstr>
      <vt:lpstr>'M15'!Area_stampa</vt:lpstr>
      <vt:lpstr>'M16'!Area_stampa</vt:lpstr>
      <vt:lpstr>'M19'!Area_stampa</vt:lpstr>
      <vt:lpstr>'M21'!Area_stampa</vt:lpstr>
      <vt:lpstr>'M8.3-8.6'!Area_stampa</vt:lpstr>
      <vt:lpstr>M8_1!Area_stampa</vt:lpstr>
      <vt:lpstr>Procedurale!Area_stampa</vt:lpstr>
      <vt:lpstr>'Avanzamento_ SP_FEASR'!Titoli_stampa</vt:lpstr>
      <vt:lpstr>'Avanzamento_ SP_totale'!Titoli_stampa</vt:lpstr>
      <vt:lpstr>'Dettaglio M11 x bando'!Titoli_stampa</vt:lpstr>
      <vt:lpstr>'GAL MARMILLA_GAL NUORESE B.'!Titoli_stampa</vt:lpstr>
      <vt:lpstr>'Impegni PROGR 2014-2022'!Titoli_stampa</vt:lpstr>
      <vt:lpstr>'M10.1 FEASR+EURI'!Titoli_stampa</vt:lpstr>
      <vt:lpstr>'M11'!Titoli_stampa</vt:lpstr>
      <vt:lpstr>'M13'!Titoli_stampa</vt:lpstr>
      <vt:lpstr>'M14'!Titoli_stampa</vt:lpstr>
      <vt:lpstr>'M15'!Titoli_stampa</vt:lpstr>
      <vt:lpstr>M8_1!Titoli_stampa</vt:lpstr>
      <vt:lpstr>Procedurale!Titoli_stampa</vt:lpstr>
      <vt:lpstr>'Procedurale bandi GAL'!Titoli_stampa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Stefania</dc:creator>
  <cp:lastModifiedBy>Loredana Furcas</cp:lastModifiedBy>
  <cp:lastPrinted>2025-07-14T15:55:32Z</cp:lastPrinted>
  <dcterms:created xsi:type="dcterms:W3CDTF">2019-10-02T06:22:23Z</dcterms:created>
  <dcterms:modified xsi:type="dcterms:W3CDTF">2025-10-14T14:29:49Z</dcterms:modified>
</cp:coreProperties>
</file>