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avacca\OneDrive - Regione Autonoma della Sardegna\Desktop\Desktop Vecchio\PSR 2014-2022\Stato di attuazione PSR\Stato di attuazione al 30.06.2025\"/>
    </mc:Choice>
  </mc:AlternateContent>
  <xr:revisionPtr revIDLastSave="0" documentId="13_ncr:1_{6E4FAF17-A449-4F98-AC1B-9D79E0F8016E}" xr6:coauthVersionLast="47" xr6:coauthVersionMax="47" xr10:uidLastSave="{00000000-0000-0000-0000-000000000000}"/>
  <bookViews>
    <workbookView xWindow="-120" yWindow="-120" windowWidth="29040" windowHeight="15720" tabRatio="866" activeTab="4" xr2:uid="{00000000-000D-0000-FFFF-FFFF00000000}"/>
  </bookViews>
  <sheets>
    <sheet name="Copertina" sheetId="30" r:id="rId1"/>
    <sheet name="Avanzamento_ SP_totale" sheetId="11" r:id="rId2"/>
    <sheet name="Avanzamento_ SP_FEASR" sheetId="84" r:id="rId3"/>
    <sheet name="AVANZAMENTO EURI" sheetId="100" r:id="rId4"/>
    <sheet name="AVANZAMENTO TOP UP" sheetId="101" r:id="rId5"/>
    <sheet name="Impegni PROGR 2014-2022" sheetId="36" r:id="rId6"/>
    <sheet name="Procedurale" sheetId="99" r:id="rId7"/>
    <sheet name="Procedurale bandi GAL" sheetId="41" r:id="rId8"/>
    <sheet name="N+3" sheetId="87" r:id="rId9"/>
    <sheet name=" M01-M02" sheetId="14" r:id="rId10"/>
    <sheet name="M03" sheetId="16" r:id="rId11"/>
    <sheet name="PIF-MANIFESTAZIONI-DI INTERESSE" sheetId="102" r:id="rId12"/>
    <sheet name="M04" sheetId="17" r:id="rId13"/>
    <sheet name="M05" sheetId="18" r:id="rId14"/>
    <sheet name="M06" sheetId="19" r:id="rId15"/>
    <sheet name="M07" sheetId="20" r:id="rId16"/>
    <sheet name="M8_1" sheetId="103" r:id="rId17"/>
    <sheet name="M8.3-8.6" sheetId="21" r:id="rId18"/>
    <sheet name="M09" sheetId="22" r:id="rId19"/>
    <sheet name="M10.1 FEASR+EURI" sheetId="104" r:id="rId20"/>
    <sheet name="Dett. 10.1 FEASR+EURI+TOP UP" sheetId="105" r:id="rId21"/>
    <sheet name="M11" sheetId="106" r:id="rId22"/>
    <sheet name="Dettaglio M11 x bando" sheetId="107" r:id="rId23"/>
    <sheet name="M13" sheetId="108" r:id="rId24"/>
    <sheet name="M14" sheetId="109" r:id="rId25"/>
    <sheet name="M15" sheetId="110" r:id="rId26"/>
    <sheet name="M10.2" sheetId="42" r:id="rId27"/>
    <sheet name="M16" sheetId="23" r:id="rId28"/>
    <sheet name="M19" sheetId="24" r:id="rId29"/>
    <sheet name="M21" sheetId="43" r:id="rId30"/>
    <sheet name="Focus M19" sheetId="88" r:id="rId31"/>
    <sheet name="Focus M19.2" sheetId="89" r:id="rId32"/>
    <sheet name="GAL ANGLONA ROMANGIA" sheetId="46" r:id="rId33"/>
    <sheet name="GAL BARBAGIA_GAL BARIGADU" sheetId="26" r:id="rId34"/>
    <sheet name="GAL CAMPIDANO_GAL BMG" sheetId="44" r:id="rId35"/>
    <sheet name="GAL GALLURA_GAL LINAS" sheetId="27" r:id="rId36"/>
    <sheet name="GAL LOGUDORO_GAL MARGHINE" sheetId="54" r:id="rId37"/>
    <sheet name="GAL MARMILLA_GAL NUORESE B." sheetId="35" r:id="rId38"/>
    <sheet name="GAL OGLIASTRA_GAL SARCIDANO" sheetId="29" r:id="rId39"/>
    <sheet name="GAL SGT_GAL SINIS" sheetId="25" r:id="rId40"/>
    <sheet name="GAL SULCIS_GAL TERRAS DE OLIA" sheetId="39" r:id="rId41"/>
  </sheets>
  <definedNames>
    <definedName name="_xlnm._FilterDatabase" localSheetId="2" hidden="1">'Avanzamento_ SP_FEASR'!$A$4:$M$61</definedName>
    <definedName name="_xlnm._FilterDatabase" localSheetId="1" hidden="1">'Avanzamento_ SP_totale'!$A$5:$V$65</definedName>
    <definedName name="_xlnm._FilterDatabase" localSheetId="5" hidden="1">'Impegni PROGR 2014-2022'!$A$3:$JS$57</definedName>
    <definedName name="_xlnm._FilterDatabase" localSheetId="7" hidden="1">'Procedurale bandi GAL'!$A$2:$G$220</definedName>
    <definedName name="_xlnm.Print_Area" localSheetId="9">' M01-M02'!$A$1:$AA$18</definedName>
    <definedName name="_xlnm.Print_Area" localSheetId="3">'AVANZAMENTO EURI'!$A$1:$H$11</definedName>
    <definedName name="_xlnm.Print_Area" localSheetId="2">'Avanzamento_ SP_FEASR'!$A$1:$J$61</definedName>
    <definedName name="_xlnm.Print_Area" localSheetId="1">'Avanzamento_ SP_totale'!$A$1:$T$65</definedName>
    <definedName name="_xlnm.Print_Area" localSheetId="0">Copertina!$A$1:$I$29</definedName>
    <definedName name="_xlnm.Print_Area" localSheetId="20">'Dett. 10.1 FEASR+EURI+TOP UP'!$A$1:$O$59</definedName>
    <definedName name="_xlnm.Print_Area" localSheetId="22">'Dettaglio M11 x bando'!$A$1:$M$45</definedName>
    <definedName name="_xlnm.Print_Area" localSheetId="31">'Focus M19.2'!$A$1:$K$23</definedName>
    <definedName name="_xlnm.Print_Area" localSheetId="32">'GAL ANGLONA ROMANGIA'!$A$1:$U$14</definedName>
    <definedName name="_xlnm.Print_Area" localSheetId="33">'GAL BARBAGIA_GAL BARIGADU'!$A$1:$U$36</definedName>
    <definedName name="_xlnm.Print_Area" localSheetId="34">'GAL CAMPIDANO_GAL BMG'!$A$1:$U$52</definedName>
    <definedName name="_xlnm.Print_Area" localSheetId="35">'GAL GALLURA_GAL LINAS'!$A$1:$U$48</definedName>
    <definedName name="_xlnm.Print_Area" localSheetId="36">'GAL LOGUDORO_GAL MARGHINE'!$A$1:$U$34</definedName>
    <definedName name="_xlnm.Print_Area" localSheetId="37">'GAL MARMILLA_GAL NUORESE B.'!$A$1:$U$42</definedName>
    <definedName name="_xlnm.Print_Area" localSheetId="38">'GAL OGLIASTRA_GAL SARCIDANO'!$A$1:$U$43</definedName>
    <definedName name="_xlnm.Print_Area" localSheetId="39">'GAL SGT_GAL SINIS'!$A$1:$U$42</definedName>
    <definedName name="_xlnm.Print_Area" localSheetId="40">'GAL SULCIS_GAL TERRAS DE OLIA'!$A$1:$U$44</definedName>
    <definedName name="_xlnm.Print_Area" localSheetId="5">'Impegni PROGR 2014-2022'!$A$1:$G$57</definedName>
    <definedName name="_xlnm.Print_Area" localSheetId="10">'M03'!$A$1:$AA$27</definedName>
    <definedName name="_xlnm.Print_Area" localSheetId="12">'M04'!$A$1:$AA$36</definedName>
    <definedName name="_xlnm.Print_Area" localSheetId="13">'M05'!$A$1:$AA$21</definedName>
    <definedName name="_xlnm.Print_Area" localSheetId="14">'M06'!$A$1:$AA$31</definedName>
    <definedName name="_xlnm.Print_Area" localSheetId="15">'M07'!$A$1:$AA$53</definedName>
    <definedName name="_xlnm.Print_Area" localSheetId="18">'M09'!$A$1:$AA$10</definedName>
    <definedName name="_xlnm.Print_Area" localSheetId="19">'M10.1 FEASR+EURI'!$A$1:$S$21</definedName>
    <definedName name="_xlnm.Print_Area" localSheetId="26">'M10.2'!$A$1:$AA$9</definedName>
    <definedName name="_xlnm.Print_Area" localSheetId="21">'M11'!$A$1:$R$21</definedName>
    <definedName name="_xlnm.Print_Area" localSheetId="23">'M13'!$A$1:$R$22</definedName>
    <definedName name="_xlnm.Print_Area" localSheetId="24">'M14'!$A$1:$R$21</definedName>
    <definedName name="_xlnm.Print_Area" localSheetId="25">'M15'!$A$1:$R$23</definedName>
    <definedName name="_xlnm.Print_Area" localSheetId="27">'M16'!$A$1:$AA$53</definedName>
    <definedName name="_xlnm.Print_Area" localSheetId="28">'M19'!$A$1:$Z$37</definedName>
    <definedName name="_xlnm.Print_Area" localSheetId="29">'M21'!$A$1:$AA$9</definedName>
    <definedName name="_xlnm.Print_Area" localSheetId="17">'M8.3-8.6'!$A$1:$AA$18</definedName>
    <definedName name="_xlnm.Print_Area" localSheetId="16">M8_1!$A$1:$O$21</definedName>
    <definedName name="_xlnm.Print_Area" localSheetId="6">Procedurale!$A$1:$F$102</definedName>
    <definedName name="_xlnm.Print_Titles" localSheetId="2">'Avanzamento_ SP_FEASR'!$1:$3</definedName>
    <definedName name="_xlnm.Print_Titles" localSheetId="1">'Avanzamento_ SP_totale'!$1:$4</definedName>
    <definedName name="_xlnm.Print_Titles" localSheetId="22">'Dettaglio M11 x bando'!$1:$5</definedName>
    <definedName name="_xlnm.Print_Titles" localSheetId="37">'GAL MARMILLA_GAL NUORESE B.'!$2:$5</definedName>
    <definedName name="_xlnm.Print_Titles" localSheetId="5">'Impegni PROGR 2014-2022'!$1:$3</definedName>
    <definedName name="_xlnm.Print_Titles" localSheetId="19">'M10.1 FEASR+EURI'!$1:$6</definedName>
    <definedName name="_xlnm.Print_Titles" localSheetId="21">'M11'!$1:$6</definedName>
    <definedName name="_xlnm.Print_Titles" localSheetId="23">'M13'!$1:$6</definedName>
    <definedName name="_xlnm.Print_Titles" localSheetId="24">'M14'!$1:$6</definedName>
    <definedName name="_xlnm.Print_Titles" localSheetId="25">'M15'!$1:$6</definedName>
    <definedName name="_xlnm.Print_Titles" localSheetId="16">M8_1!$1:$6</definedName>
    <definedName name="_xlnm.Print_Titles" localSheetId="6">Procedurale!$1:$2</definedName>
    <definedName name="_xlnm.Print_Titles" localSheetId="7">'Procedurale bandi GAL'!$1:$2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6" i="11" l="1"/>
  <c r="F40" i="36"/>
  <c r="G40" i="36"/>
  <c r="F39" i="36"/>
  <c r="F38" i="36"/>
  <c r="F37" i="36"/>
  <c r="F36" i="36"/>
  <c r="G36" i="36"/>
  <c r="F35" i="36"/>
  <c r="F34" i="36"/>
  <c r="G34" i="36"/>
  <c r="F32" i="36"/>
  <c r="G32" i="36"/>
  <c r="F27" i="36"/>
  <c r="G27" i="36"/>
  <c r="F101" i="99"/>
  <c r="R19" i="110"/>
  <c r="Q19" i="110"/>
  <c r="P19" i="110"/>
  <c r="O19" i="110"/>
  <c r="N19" i="110"/>
  <c r="M19" i="110"/>
  <c r="L19" i="110"/>
  <c r="K19" i="110"/>
  <c r="J19" i="110"/>
  <c r="I19" i="110"/>
  <c r="H19" i="110"/>
  <c r="G19" i="110"/>
  <c r="F19" i="110"/>
  <c r="C19" i="110"/>
  <c r="B19" i="110"/>
  <c r="Q7" i="110"/>
  <c r="D7" i="110"/>
  <c r="D19" i="110" s="1"/>
  <c r="R17" i="109"/>
  <c r="P17" i="109"/>
  <c r="Q17" i="109" s="1"/>
  <c r="O17" i="109"/>
  <c r="N17" i="109"/>
  <c r="M17" i="109"/>
  <c r="L17" i="109"/>
  <c r="K17" i="109"/>
  <c r="J17" i="109"/>
  <c r="I17" i="109"/>
  <c r="H17" i="109"/>
  <c r="G17" i="109"/>
  <c r="F17" i="109"/>
  <c r="C17" i="109"/>
  <c r="B17" i="109"/>
  <c r="K16" i="109"/>
  <c r="Q7" i="109"/>
  <c r="D7" i="109"/>
  <c r="D17" i="109" s="1"/>
  <c r="R18" i="108"/>
  <c r="P18" i="108"/>
  <c r="Q18" i="108" s="1"/>
  <c r="O18" i="108"/>
  <c r="N18" i="108"/>
  <c r="M18" i="108"/>
  <c r="L18" i="108"/>
  <c r="K18" i="108"/>
  <c r="J18" i="108"/>
  <c r="I18" i="108"/>
  <c r="H18" i="108"/>
  <c r="G18" i="108"/>
  <c r="D7" i="108" s="1"/>
  <c r="D18" i="108" s="1"/>
  <c r="F18" i="108"/>
  <c r="C18" i="108"/>
  <c r="B18" i="108"/>
  <c r="Q7" i="108"/>
  <c r="L40" i="107"/>
  <c r="P7" i="106" s="1"/>
  <c r="K40" i="107"/>
  <c r="O7" i="106" s="1"/>
  <c r="O16" i="106" s="1"/>
  <c r="D40" i="107"/>
  <c r="J39" i="107"/>
  <c r="J40" i="107" s="1"/>
  <c r="I39" i="107"/>
  <c r="I40" i="107" s="1"/>
  <c r="H39" i="107"/>
  <c r="G39" i="107"/>
  <c r="G40" i="107" s="1"/>
  <c r="F39" i="107"/>
  <c r="E39" i="107"/>
  <c r="E40" i="107" s="1"/>
  <c r="D39" i="107"/>
  <c r="J37" i="107"/>
  <c r="I37" i="107"/>
  <c r="H37" i="107"/>
  <c r="G37" i="107"/>
  <c r="F37" i="107"/>
  <c r="F40" i="107" s="1"/>
  <c r="E37" i="107"/>
  <c r="D37" i="107"/>
  <c r="J34" i="107"/>
  <c r="I34" i="107"/>
  <c r="H34" i="107"/>
  <c r="H40" i="107" s="1"/>
  <c r="G34" i="107"/>
  <c r="F34" i="107"/>
  <c r="E34" i="107"/>
  <c r="D34" i="107"/>
  <c r="J30" i="107"/>
  <c r="I30" i="107"/>
  <c r="H30" i="107"/>
  <c r="G30" i="107"/>
  <c r="F30" i="107"/>
  <c r="E30" i="107"/>
  <c r="D30" i="107"/>
  <c r="J25" i="107"/>
  <c r="I25" i="107"/>
  <c r="H25" i="107"/>
  <c r="G25" i="107"/>
  <c r="F25" i="107"/>
  <c r="E25" i="107"/>
  <c r="D25" i="107"/>
  <c r="J19" i="107"/>
  <c r="I19" i="107"/>
  <c r="H19" i="107"/>
  <c r="G19" i="107"/>
  <c r="F19" i="107"/>
  <c r="E19" i="107"/>
  <c r="D19" i="107"/>
  <c r="J13" i="107"/>
  <c r="I13" i="107"/>
  <c r="H13" i="107"/>
  <c r="G13" i="107"/>
  <c r="F13" i="107"/>
  <c r="E13" i="107"/>
  <c r="D13" i="107"/>
  <c r="M6" i="107"/>
  <c r="R16" i="106"/>
  <c r="G16" i="106"/>
  <c r="F16" i="106"/>
  <c r="C16" i="106"/>
  <c r="B16" i="106"/>
  <c r="N15" i="106"/>
  <c r="M15" i="106"/>
  <c r="L15" i="106"/>
  <c r="K15" i="106"/>
  <c r="J15" i="106"/>
  <c r="I15" i="106"/>
  <c r="H15" i="106"/>
  <c r="N14" i="106"/>
  <c r="M14" i="106"/>
  <c r="L14" i="106"/>
  <c r="K14" i="106"/>
  <c r="J14" i="106"/>
  <c r="I14" i="106"/>
  <c r="H14" i="106"/>
  <c r="N13" i="106"/>
  <c r="M13" i="106"/>
  <c r="L13" i="106"/>
  <c r="K13" i="106"/>
  <c r="J13" i="106"/>
  <c r="I13" i="106"/>
  <c r="H13" i="106"/>
  <c r="N12" i="106"/>
  <c r="M12" i="106"/>
  <c r="L12" i="106"/>
  <c r="K12" i="106"/>
  <c r="J12" i="106"/>
  <c r="I12" i="106"/>
  <c r="H12" i="106"/>
  <c r="N11" i="106"/>
  <c r="M11" i="106"/>
  <c r="M16" i="106" s="1"/>
  <c r="L11" i="106"/>
  <c r="K11" i="106"/>
  <c r="J11" i="106"/>
  <c r="I11" i="106"/>
  <c r="I16" i="106" s="1"/>
  <c r="H11" i="106"/>
  <c r="N10" i="106"/>
  <c r="M10" i="106"/>
  <c r="L10" i="106"/>
  <c r="L16" i="106" s="1"/>
  <c r="K10" i="106"/>
  <c r="J10" i="106"/>
  <c r="I10" i="106"/>
  <c r="H10" i="106"/>
  <c r="N9" i="106"/>
  <c r="N16" i="106" s="1"/>
  <c r="M9" i="106"/>
  <c r="L9" i="106"/>
  <c r="K9" i="106"/>
  <c r="K16" i="106" s="1"/>
  <c r="D7" i="106" s="1"/>
  <c r="D16" i="106" s="1"/>
  <c r="J9" i="106"/>
  <c r="J16" i="106" s="1"/>
  <c r="I9" i="106"/>
  <c r="H9" i="106"/>
  <c r="H16" i="106" s="1"/>
  <c r="M56" i="105"/>
  <c r="N55" i="105"/>
  <c r="M55" i="105"/>
  <c r="L55" i="105"/>
  <c r="L56" i="105" s="1"/>
  <c r="K55" i="105"/>
  <c r="K56" i="105" s="1"/>
  <c r="J55" i="105"/>
  <c r="I55" i="105"/>
  <c r="H55" i="105"/>
  <c r="G55" i="105"/>
  <c r="F55" i="105"/>
  <c r="E55" i="105"/>
  <c r="D55" i="105"/>
  <c r="D56" i="105" s="1"/>
  <c r="O54" i="105"/>
  <c r="O53" i="105"/>
  <c r="O52" i="105"/>
  <c r="O55" i="105" s="1"/>
  <c r="M52" i="105"/>
  <c r="N51" i="105"/>
  <c r="M51" i="105"/>
  <c r="L51" i="105"/>
  <c r="K51" i="105"/>
  <c r="O51" i="105" s="1"/>
  <c r="J51" i="105"/>
  <c r="I51" i="105"/>
  <c r="H51" i="105"/>
  <c r="G51" i="105"/>
  <c r="F51" i="105"/>
  <c r="E51" i="105"/>
  <c r="D51" i="105"/>
  <c r="O42" i="105"/>
  <c r="N41" i="105"/>
  <c r="N56" i="105" s="1"/>
  <c r="O56" i="105" s="1"/>
  <c r="M41" i="105"/>
  <c r="L41" i="105"/>
  <c r="K41" i="105"/>
  <c r="J41" i="105"/>
  <c r="I41" i="105"/>
  <c r="H41" i="105"/>
  <c r="G41" i="105"/>
  <c r="F41" i="105"/>
  <c r="E41" i="105"/>
  <c r="D41" i="105"/>
  <c r="N37" i="105"/>
  <c r="M37" i="105"/>
  <c r="L37" i="105"/>
  <c r="K37" i="105"/>
  <c r="O37" i="105" s="1"/>
  <c r="O32" i="105"/>
  <c r="O31" i="105"/>
  <c r="N31" i="105"/>
  <c r="M31" i="105"/>
  <c r="L31" i="105"/>
  <c r="K31" i="105"/>
  <c r="I31" i="105"/>
  <c r="G31" i="105"/>
  <c r="J30" i="105"/>
  <c r="J31" i="105" s="1"/>
  <c r="I30" i="105"/>
  <c r="H30" i="105"/>
  <c r="H31" i="105" s="1"/>
  <c r="G30" i="105"/>
  <c r="F30" i="105"/>
  <c r="F31" i="105" s="1"/>
  <c r="E30" i="105"/>
  <c r="D30" i="105"/>
  <c r="D31" i="105" s="1"/>
  <c r="J26" i="105"/>
  <c r="I26" i="105"/>
  <c r="H26" i="105"/>
  <c r="G26" i="105"/>
  <c r="F26" i="105"/>
  <c r="E26" i="105"/>
  <c r="E31" i="105" s="1"/>
  <c r="D26" i="105"/>
  <c r="O19" i="105"/>
  <c r="N18" i="105"/>
  <c r="M18" i="105"/>
  <c r="L18" i="105"/>
  <c r="P14" i="104" s="1"/>
  <c r="P18" i="104" s="1"/>
  <c r="K18" i="105"/>
  <c r="O7" i="104" s="1"/>
  <c r="O18" i="104" s="1"/>
  <c r="J18" i="105"/>
  <c r="D18" i="105"/>
  <c r="J17" i="105"/>
  <c r="I17" i="105"/>
  <c r="I18" i="105" s="1"/>
  <c r="H17" i="105"/>
  <c r="G17" i="105"/>
  <c r="G18" i="105" s="1"/>
  <c r="F17" i="105"/>
  <c r="E17" i="105"/>
  <c r="E18" i="105" s="1"/>
  <c r="D17" i="105"/>
  <c r="J14" i="105"/>
  <c r="I14" i="105"/>
  <c r="H14" i="105"/>
  <c r="H18" i="105" s="1"/>
  <c r="G14" i="105"/>
  <c r="F14" i="105"/>
  <c r="F18" i="105" s="1"/>
  <c r="E14" i="105"/>
  <c r="D14" i="105"/>
  <c r="O6" i="105"/>
  <c r="O18" i="105" s="1"/>
  <c r="S18" i="104"/>
  <c r="G18" i="104"/>
  <c r="F18" i="104"/>
  <c r="C18" i="104"/>
  <c r="B18" i="104"/>
  <c r="N17" i="104"/>
  <c r="M17" i="104"/>
  <c r="L17" i="104"/>
  <c r="K17" i="104"/>
  <c r="J17" i="104"/>
  <c r="I17" i="104"/>
  <c r="H17" i="104"/>
  <c r="N16" i="104"/>
  <c r="M16" i="104"/>
  <c r="L16" i="104"/>
  <c r="K16" i="104"/>
  <c r="J16" i="104"/>
  <c r="I16" i="104"/>
  <c r="H16" i="104"/>
  <c r="N15" i="104"/>
  <c r="M15" i="104"/>
  <c r="L15" i="104"/>
  <c r="K15" i="104"/>
  <c r="J15" i="104"/>
  <c r="I15" i="104"/>
  <c r="H15" i="104"/>
  <c r="N14" i="104"/>
  <c r="M14" i="104"/>
  <c r="L14" i="104"/>
  <c r="K14" i="104"/>
  <c r="J14" i="104"/>
  <c r="I14" i="104"/>
  <c r="H14" i="104"/>
  <c r="N13" i="104"/>
  <c r="M13" i="104"/>
  <c r="L13" i="104"/>
  <c r="K13" i="104"/>
  <c r="J13" i="104"/>
  <c r="I13" i="104"/>
  <c r="H13" i="104"/>
  <c r="N12" i="104"/>
  <c r="M12" i="104"/>
  <c r="L12" i="104"/>
  <c r="K12" i="104"/>
  <c r="K18" i="104" s="1"/>
  <c r="D7" i="104" s="1"/>
  <c r="D18" i="104" s="1"/>
  <c r="J12" i="104"/>
  <c r="I12" i="104"/>
  <c r="I18" i="104" s="1"/>
  <c r="H12" i="104"/>
  <c r="N11" i="104"/>
  <c r="M11" i="104"/>
  <c r="L11" i="104"/>
  <c r="K11" i="104"/>
  <c r="J11" i="104"/>
  <c r="J18" i="104" s="1"/>
  <c r="I11" i="104"/>
  <c r="H11" i="104"/>
  <c r="N10" i="104"/>
  <c r="M10" i="104"/>
  <c r="L10" i="104"/>
  <c r="K10" i="104"/>
  <c r="J10" i="104"/>
  <c r="I10" i="104"/>
  <c r="H10" i="104"/>
  <c r="N9" i="104"/>
  <c r="N18" i="104" s="1"/>
  <c r="M9" i="104"/>
  <c r="M18" i="104" s="1"/>
  <c r="L9" i="104"/>
  <c r="L18" i="104" s="1"/>
  <c r="K9" i="104"/>
  <c r="J9" i="104"/>
  <c r="I9" i="104"/>
  <c r="H9" i="104"/>
  <c r="H18" i="104" s="1"/>
  <c r="Q7" i="104"/>
  <c r="R7" i="104" s="1"/>
  <c r="G17" i="103"/>
  <c r="F17" i="103"/>
  <c r="N7" i="103"/>
  <c r="H56" i="105" l="1"/>
  <c r="G56" i="105"/>
  <c r="I56" i="105"/>
  <c r="E56" i="105"/>
  <c r="J56" i="105"/>
  <c r="Q7" i="106"/>
  <c r="P16" i="106"/>
  <c r="Q16" i="106" s="1"/>
  <c r="F56" i="105"/>
  <c r="M40" i="107"/>
  <c r="Q18" i="104"/>
  <c r="R18" i="104" s="1"/>
  <c r="M24" i="11" l="1"/>
  <c r="C59" i="11"/>
  <c r="Q42" i="23"/>
  <c r="Q6" i="17"/>
  <c r="Q25" i="19"/>
  <c r="Q17" i="18"/>
  <c r="Q6" i="18"/>
  <c r="P32" i="17"/>
  <c r="P31" i="17"/>
  <c r="J10" i="17" l="1"/>
  <c r="J7" i="19"/>
  <c r="P18" i="18"/>
  <c r="P30" i="17"/>
  <c r="I11" i="17"/>
  <c r="J22" i="17"/>
  <c r="Q22" i="17" s="1"/>
  <c r="Q6" i="19"/>
  <c r="Q7" i="17"/>
  <c r="Q11" i="17"/>
  <c r="P11" i="17"/>
  <c r="Q21" i="16"/>
  <c r="Q24" i="16"/>
  <c r="J24" i="16"/>
  <c r="E11" i="36" l="1"/>
  <c r="G35" i="84"/>
  <c r="G25" i="84"/>
  <c r="V14" i="24" l="1"/>
  <c r="Y27" i="19"/>
  <c r="W25" i="19"/>
  <c r="AA17" i="19"/>
  <c r="Y17" i="19"/>
  <c r="Y8" i="19"/>
  <c r="Y9" i="19" l="1"/>
  <c r="O24" i="11"/>
  <c r="W23" i="17"/>
  <c r="X23" i="17"/>
  <c r="Y23" i="17"/>
  <c r="Z23" i="17"/>
  <c r="AA23" i="17"/>
  <c r="W12" i="17"/>
  <c r="W10" i="17"/>
  <c r="K14" i="89"/>
  <c r="I22" i="89" l="1"/>
  <c r="G12" i="89"/>
  <c r="D8" i="88"/>
  <c r="P15" i="35" l="1"/>
  <c r="L28" i="11" l="1"/>
  <c r="J57" i="11"/>
  <c r="J55" i="11"/>
  <c r="J54" i="11"/>
  <c r="J52" i="11"/>
  <c r="J51" i="11"/>
  <c r="J16" i="11"/>
  <c r="J10" i="11"/>
  <c r="F59" i="11"/>
  <c r="G59" i="11"/>
  <c r="H58" i="11"/>
  <c r="S58" i="11" s="1"/>
  <c r="H57" i="11"/>
  <c r="S57" i="11" s="1"/>
  <c r="H56" i="11"/>
  <c r="S56" i="11" s="1"/>
  <c r="H55" i="11"/>
  <c r="S55" i="11" s="1"/>
  <c r="H54" i="11"/>
  <c r="S54" i="11" s="1"/>
  <c r="H52" i="11"/>
  <c r="S52" i="11" s="1"/>
  <c r="H51" i="11"/>
  <c r="S51" i="11" s="1"/>
  <c r="H50" i="11"/>
  <c r="S50" i="11" s="1"/>
  <c r="H49" i="11"/>
  <c r="S49" i="11" s="1"/>
  <c r="H48" i="11"/>
  <c r="S48" i="11" s="1"/>
  <c r="H47" i="11"/>
  <c r="S47" i="11" s="1"/>
  <c r="H46" i="11"/>
  <c r="S46" i="11" s="1"/>
  <c r="H45" i="11"/>
  <c r="S45" i="11" s="1"/>
  <c r="H44" i="11"/>
  <c r="S44" i="11" s="1"/>
  <c r="H40" i="11"/>
  <c r="S40" i="11" s="1"/>
  <c r="H38" i="11"/>
  <c r="S38" i="11" s="1"/>
  <c r="H36" i="11"/>
  <c r="S36" i="11" s="1"/>
  <c r="H35" i="11"/>
  <c r="H30" i="11"/>
  <c r="S30" i="11" s="1"/>
  <c r="H29" i="11"/>
  <c r="S29" i="11" s="1"/>
  <c r="H28" i="11"/>
  <c r="S28" i="11" s="1"/>
  <c r="H27" i="11"/>
  <c r="S27" i="11" s="1"/>
  <c r="H26" i="11"/>
  <c r="S26" i="11" s="1"/>
  <c r="H25" i="11"/>
  <c r="S25" i="11" s="1"/>
  <c r="H24" i="11"/>
  <c r="S24" i="11" s="1"/>
  <c r="H23" i="11"/>
  <c r="S23" i="11" s="1"/>
  <c r="H22" i="11"/>
  <c r="S22" i="11" s="1"/>
  <c r="H21" i="11"/>
  <c r="S21" i="11" s="1"/>
  <c r="H20" i="11"/>
  <c r="S20" i="11" s="1"/>
  <c r="H19" i="11"/>
  <c r="S19" i="11" s="1"/>
  <c r="H18" i="11"/>
  <c r="S18" i="11" s="1"/>
  <c r="H17" i="11"/>
  <c r="S17" i="11" s="1"/>
  <c r="H16" i="11"/>
  <c r="S16" i="11" s="1"/>
  <c r="H15" i="11"/>
  <c r="S15" i="11" s="1"/>
  <c r="H14" i="11"/>
  <c r="S14" i="11" s="1"/>
  <c r="H13" i="11"/>
  <c r="S13" i="11" s="1"/>
  <c r="H12" i="11"/>
  <c r="H11" i="11"/>
  <c r="S11" i="11" s="1"/>
  <c r="H10" i="11"/>
  <c r="S10" i="11" s="1"/>
  <c r="H9" i="11"/>
  <c r="S9" i="11" s="1"/>
  <c r="H8" i="11"/>
  <c r="S8" i="11" s="1"/>
  <c r="H7" i="11"/>
  <c r="S7" i="11" s="1"/>
  <c r="H6" i="11"/>
  <c r="H59" i="11" l="1"/>
  <c r="S12" i="11"/>
  <c r="I47" i="84"/>
  <c r="I48" i="84"/>
  <c r="I19" i="84"/>
  <c r="Q11" i="46" l="1"/>
  <c r="I58" i="84" l="1"/>
  <c r="O16" i="19"/>
  <c r="N16" i="19"/>
  <c r="O8" i="19"/>
  <c r="C6" i="87" l="1"/>
  <c r="D6" i="87" s="1"/>
  <c r="J21" i="17"/>
  <c r="I21" i="17"/>
  <c r="U25" i="19"/>
  <c r="P18" i="11"/>
  <c r="O18" i="11" s="1"/>
  <c r="O13" i="11"/>
  <c r="O7" i="11"/>
  <c r="U27" i="19"/>
  <c r="U9" i="19"/>
  <c r="U23" i="17"/>
  <c r="U12" i="17"/>
  <c r="U10" i="17"/>
  <c r="E6" i="87" l="1"/>
  <c r="N8" i="19"/>
  <c r="O6" i="17"/>
  <c r="N6" i="17"/>
  <c r="M16" i="19"/>
  <c r="L16" i="19"/>
  <c r="M8" i="19"/>
  <c r="L8" i="19"/>
  <c r="M17" i="18"/>
  <c r="L17" i="18"/>
  <c r="M6" i="17"/>
  <c r="L6" i="17"/>
  <c r="K16" i="19"/>
  <c r="K8" i="19"/>
  <c r="K6" i="17"/>
  <c r="O10" i="11" l="1"/>
  <c r="Q10" i="11" s="1"/>
  <c r="U24" i="29" l="1"/>
  <c r="T14" i="24" s="1"/>
  <c r="T24" i="29"/>
  <c r="S24" i="29"/>
  <c r="R24" i="29"/>
  <c r="P24" i="29"/>
  <c r="O24" i="29"/>
  <c r="N24" i="29"/>
  <c r="M24" i="29"/>
  <c r="L24" i="29"/>
  <c r="K24" i="29"/>
  <c r="J24" i="29"/>
  <c r="I24" i="29"/>
  <c r="H24" i="29"/>
  <c r="G24" i="29"/>
  <c r="F24" i="29"/>
  <c r="D24" i="29"/>
  <c r="Q23" i="29"/>
  <c r="U14" i="16" l="1"/>
  <c r="J15" i="24" l="1"/>
  <c r="I15" i="24"/>
  <c r="M25" i="19"/>
  <c r="L25" i="19"/>
  <c r="K17" i="18"/>
  <c r="O17" i="18"/>
  <c r="N17" i="18"/>
  <c r="J12" i="16"/>
  <c r="K38" i="29" l="1"/>
  <c r="Q38" i="29" s="1"/>
  <c r="C13" i="36" l="1"/>
  <c r="M44" i="11" l="1"/>
  <c r="M43" i="11"/>
  <c r="M42" i="11"/>
  <c r="M41" i="11"/>
  <c r="M40" i="11"/>
  <c r="M39" i="11"/>
  <c r="M38" i="11"/>
  <c r="Q36" i="11"/>
  <c r="M37" i="11"/>
  <c r="M36" i="11"/>
  <c r="T30" i="11"/>
  <c r="Q30" i="11"/>
  <c r="M30" i="11"/>
  <c r="J29" i="84" l="1"/>
  <c r="G29" i="84"/>
  <c r="V16" i="24" l="1"/>
  <c r="E42" i="36"/>
  <c r="E16" i="36"/>
  <c r="C58" i="84" l="1"/>
  <c r="L6" i="11"/>
  <c r="L8" i="11"/>
  <c r="M8" i="11" s="1"/>
  <c r="L7" i="11"/>
  <c r="P15" i="24" l="1"/>
  <c r="X16" i="24"/>
  <c r="X16" i="23"/>
  <c r="Y16" i="23"/>
  <c r="Z16" i="23"/>
  <c r="AA16" i="23"/>
  <c r="U28" i="19"/>
  <c r="AA9" i="19"/>
  <c r="AA14" i="16"/>
  <c r="Q6" i="21" l="1"/>
  <c r="P6" i="21"/>
  <c r="P15" i="20"/>
  <c r="P14" i="20"/>
  <c r="Q9" i="17"/>
  <c r="P9" i="17"/>
  <c r="P8" i="17"/>
  <c r="K31" i="39" l="1"/>
  <c r="J31" i="39"/>
  <c r="K29" i="39"/>
  <c r="I13" i="89" l="1"/>
  <c r="K25" i="19"/>
  <c r="D14" i="36"/>
  <c r="C14" i="36"/>
  <c r="C10" i="36"/>
  <c r="G10" i="36" s="1"/>
  <c r="Q6" i="16" l="1"/>
  <c r="J13" i="16"/>
  <c r="J10" i="16"/>
  <c r="P10" i="16"/>
  <c r="M58" i="11" l="1"/>
  <c r="C16" i="36"/>
  <c r="G16" i="36" s="1"/>
  <c r="P10" i="17"/>
  <c r="H9" i="102" l="1"/>
  <c r="F9" i="102"/>
  <c r="C9" i="102"/>
  <c r="G16" i="101"/>
  <c r="D16" i="101"/>
  <c r="C16" i="101"/>
  <c r="H15" i="101"/>
  <c r="F15" i="101"/>
  <c r="H14" i="101"/>
  <c r="F14" i="101"/>
  <c r="H13" i="101"/>
  <c r="F13" i="101"/>
  <c r="H11" i="101"/>
  <c r="F11" i="101"/>
  <c r="H10" i="101"/>
  <c r="F10" i="101"/>
  <c r="H9" i="101"/>
  <c r="F9" i="101"/>
  <c r="H8" i="101"/>
  <c r="F8" i="101"/>
  <c r="H7" i="101"/>
  <c r="F7" i="101"/>
  <c r="H6" i="101"/>
  <c r="F6" i="101"/>
  <c r="F5" i="101"/>
  <c r="D8" i="100"/>
  <c r="C8" i="100"/>
  <c r="H7" i="100"/>
  <c r="F7" i="100"/>
  <c r="G6" i="100"/>
  <c r="H6" i="100" s="1"/>
  <c r="G5" i="100"/>
  <c r="H5" i="100" s="1"/>
  <c r="E5" i="100"/>
  <c r="F5" i="100" s="1"/>
  <c r="F39" i="99"/>
  <c r="F38" i="99"/>
  <c r="F14" i="99"/>
  <c r="H16" i="101" l="1"/>
  <c r="G8" i="100"/>
  <c r="C12" i="87" s="1"/>
  <c r="E16" i="101"/>
  <c r="F16" i="101" s="1"/>
  <c r="E12" i="87" l="1"/>
  <c r="D12" i="87"/>
  <c r="H8" i="100"/>
  <c r="N25" i="19" l="1"/>
  <c r="O27" i="19"/>
  <c r="C22" i="36" l="1"/>
  <c r="M26" i="11" l="1"/>
  <c r="F55" i="84" l="1"/>
  <c r="F50" i="84"/>
  <c r="E47" i="36" s="1"/>
  <c r="Z14" i="16" l="1"/>
  <c r="Q16" i="39"/>
  <c r="U17" i="39"/>
  <c r="I20" i="89" s="1"/>
  <c r="T17" i="39"/>
  <c r="S17" i="39"/>
  <c r="R17" i="39"/>
  <c r="P17" i="39"/>
  <c r="O17" i="39"/>
  <c r="N17" i="39"/>
  <c r="E20" i="89" s="1"/>
  <c r="M17" i="39"/>
  <c r="L17" i="39"/>
  <c r="K17" i="39"/>
  <c r="J17" i="39"/>
  <c r="I17" i="39"/>
  <c r="H17" i="39"/>
  <c r="G17" i="39"/>
  <c r="D17" i="39"/>
  <c r="F17" i="39"/>
  <c r="H21" i="17" l="1"/>
  <c r="O25" i="19"/>
  <c r="P13" i="16" l="1"/>
  <c r="S19" i="26" l="1"/>
  <c r="Q21" i="17" l="1"/>
  <c r="P21" i="17"/>
  <c r="L13" i="11"/>
  <c r="P33" i="24" l="1"/>
  <c r="J6" i="21" l="1"/>
  <c r="J50" i="20"/>
  <c r="E6" i="100" l="1"/>
  <c r="F6" i="100" l="1"/>
  <c r="E8" i="100"/>
  <c r="F8" i="100" s="1"/>
  <c r="O14" i="14"/>
  <c r="N14" i="14"/>
  <c r="Q6" i="14"/>
  <c r="M6" i="14"/>
  <c r="L6" i="14"/>
  <c r="K6" i="14"/>
  <c r="S8" i="18" l="1"/>
  <c r="U41" i="39"/>
  <c r="T41" i="39"/>
  <c r="U40" i="25"/>
  <c r="I19" i="89" s="1"/>
  <c r="T40" i="25"/>
  <c r="U19" i="25"/>
  <c r="I18" i="89" s="1"/>
  <c r="T19" i="25"/>
  <c r="U41" i="29"/>
  <c r="T41" i="29"/>
  <c r="I16" i="89"/>
  <c r="U40" i="35"/>
  <c r="I15" i="89" s="1"/>
  <c r="T40" i="35"/>
  <c r="U23" i="35"/>
  <c r="I14" i="89" s="1"/>
  <c r="T23" i="35"/>
  <c r="U32" i="54"/>
  <c r="T32" i="54"/>
  <c r="U16" i="54"/>
  <c r="I12" i="89" s="1"/>
  <c r="T16" i="54"/>
  <c r="U46" i="27"/>
  <c r="I11" i="89" s="1"/>
  <c r="T46" i="27"/>
  <c r="U23" i="27"/>
  <c r="I10" i="89" s="1"/>
  <c r="T23" i="27"/>
  <c r="U50" i="44"/>
  <c r="I9" i="89" s="1"/>
  <c r="T50" i="44"/>
  <c r="U19" i="44"/>
  <c r="I8" i="89" s="1"/>
  <c r="T19" i="44"/>
  <c r="U34" i="26"/>
  <c r="I7" i="89" s="1"/>
  <c r="T34" i="26"/>
  <c r="U19" i="26"/>
  <c r="I6" i="89" s="1"/>
  <c r="T19" i="26"/>
  <c r="U12" i="46"/>
  <c r="T12" i="46"/>
  <c r="T16" i="24" l="1"/>
  <c r="O52" i="11" s="1"/>
  <c r="H51" i="84" s="1" a="1"/>
  <c r="H51" i="84" s="1"/>
  <c r="I21" i="89"/>
  <c r="I17" i="89"/>
  <c r="S14" i="24"/>
  <c r="I5" i="89"/>
  <c r="U17" i="19"/>
  <c r="W19" i="18"/>
  <c r="AA19" i="18"/>
  <c r="U19" i="18"/>
  <c r="W8" i="18"/>
  <c r="U8" i="18"/>
  <c r="L12" i="11" l="1"/>
  <c r="P6" i="17" l="1"/>
  <c r="C22" i="89" l="1"/>
  <c r="Q40" i="39" l="1"/>
  <c r="Q39" i="39"/>
  <c r="Q38" i="39"/>
  <c r="Q37" i="39"/>
  <c r="Q36" i="39"/>
  <c r="Q35" i="39"/>
  <c r="Q34" i="39"/>
  <c r="Q33" i="39"/>
  <c r="Q32" i="39"/>
  <c r="Q31" i="39"/>
  <c r="Q30" i="39"/>
  <c r="J30" i="39"/>
  <c r="P29" i="39"/>
  <c r="N29" i="39"/>
  <c r="Q29" i="39" s="1"/>
  <c r="Q28" i="39"/>
  <c r="P28" i="39"/>
  <c r="O28" i="39"/>
  <c r="P27" i="39"/>
  <c r="N27" i="39"/>
  <c r="K27" i="39"/>
  <c r="Q27" i="39" s="1"/>
  <c r="Q26" i="39"/>
  <c r="Q39" i="25"/>
  <c r="Q38" i="25"/>
  <c r="Q37" i="25"/>
  <c r="Q36" i="25"/>
  <c r="Q35" i="25"/>
  <c r="Q34" i="25"/>
  <c r="Q33" i="25"/>
  <c r="Q32" i="25"/>
  <c r="Q31" i="25"/>
  <c r="Q30" i="25"/>
  <c r="Q29" i="25"/>
  <c r="N28" i="25"/>
  <c r="Q28" i="25" s="1"/>
  <c r="Q27" i="25"/>
  <c r="Q18" i="25"/>
  <c r="Q17" i="25"/>
  <c r="Q16" i="25"/>
  <c r="Q15" i="25"/>
  <c r="Q14" i="25"/>
  <c r="Q13" i="25"/>
  <c r="N12" i="25"/>
  <c r="K12" i="25" s="1"/>
  <c r="Q12" i="25" s="1"/>
  <c r="M12" i="25"/>
  <c r="L12" i="25"/>
  <c r="Q11" i="25"/>
  <c r="Q10" i="25"/>
  <c r="Q9" i="25"/>
  <c r="K8" i="25"/>
  <c r="Q8" i="25" s="1"/>
  <c r="Q7" i="25"/>
  <c r="Q6" i="25"/>
  <c r="Q40" i="29"/>
  <c r="Q39" i="29"/>
  <c r="Q37" i="29"/>
  <c r="Q36" i="29"/>
  <c r="Q35" i="29"/>
  <c r="Q34" i="29"/>
  <c r="Q33" i="29"/>
  <c r="Q32" i="29"/>
  <c r="Q22" i="29"/>
  <c r="Q24" i="29" s="1"/>
  <c r="Q21" i="29"/>
  <c r="Q20" i="29"/>
  <c r="Q19" i="29"/>
  <c r="Q18" i="29"/>
  <c r="Q17" i="29"/>
  <c r="Q16" i="29"/>
  <c r="Q15" i="29"/>
  <c r="Q14" i="29"/>
  <c r="Q13" i="29"/>
  <c r="Q12" i="29"/>
  <c r="Q11" i="29"/>
  <c r="Q10" i="29"/>
  <c r="Q9" i="29"/>
  <c r="Q8" i="29"/>
  <c r="Q7" i="29"/>
  <c r="Q6" i="29"/>
  <c r="E16" i="89"/>
  <c r="Q22" i="35"/>
  <c r="Q21" i="35"/>
  <c r="Q20" i="35"/>
  <c r="Q19" i="35"/>
  <c r="Q18" i="35"/>
  <c r="Q17" i="35"/>
  <c r="Q16" i="35"/>
  <c r="Q15" i="35"/>
  <c r="Q14" i="35"/>
  <c r="Q13" i="35"/>
  <c r="Q12" i="35"/>
  <c r="Q11" i="35"/>
  <c r="Q10" i="35"/>
  <c r="Q9" i="35"/>
  <c r="Q8" i="35"/>
  <c r="Q7" i="35"/>
  <c r="Q6" i="35"/>
  <c r="Q15" i="54"/>
  <c r="Q14" i="54"/>
  <c r="Q13" i="54"/>
  <c r="Q12" i="54"/>
  <c r="Q11" i="54"/>
  <c r="Q10" i="54"/>
  <c r="Q9" i="54"/>
  <c r="Q8" i="54"/>
  <c r="Q7" i="54"/>
  <c r="Q6" i="54"/>
  <c r="Q45" i="27"/>
  <c r="Q44" i="27"/>
  <c r="Q43" i="27"/>
  <c r="Q42" i="27"/>
  <c r="N41" i="27"/>
  <c r="K41" i="27"/>
  <c r="Q41" i="27" s="1"/>
  <c r="Q40" i="27"/>
  <c r="Q39" i="27"/>
  <c r="P39" i="27"/>
  <c r="P38" i="27"/>
  <c r="N38" i="27"/>
  <c r="Q38" i="27" s="1"/>
  <c r="Q37" i="27"/>
  <c r="Q36" i="27"/>
  <c r="Q35" i="27"/>
  <c r="P35" i="27"/>
  <c r="Q34" i="27"/>
  <c r="P34" i="27"/>
  <c r="O34" i="27"/>
  <c r="Q33" i="27"/>
  <c r="Q32" i="27"/>
  <c r="Q31" i="27"/>
  <c r="Q49" i="44"/>
  <c r="Q48" i="44"/>
  <c r="Q47" i="44"/>
  <c r="Q46" i="44"/>
  <c r="Q45" i="44"/>
  <c r="Q44" i="44"/>
  <c r="Q43" i="44"/>
  <c r="Q42" i="44"/>
  <c r="Q41" i="44"/>
  <c r="Q40" i="44"/>
  <c r="Q39" i="44"/>
  <c r="Q38" i="44"/>
  <c r="Q37" i="44"/>
  <c r="Q36" i="44"/>
  <c r="Q35" i="44"/>
  <c r="Q34" i="44"/>
  <c r="Q32" i="44"/>
  <c r="N31" i="44"/>
  <c r="Q31" i="44" s="1"/>
  <c r="Q29" i="44"/>
  <c r="Q28" i="44"/>
  <c r="Q27" i="44"/>
  <c r="Q18" i="44"/>
  <c r="Q17" i="44"/>
  <c r="Q16" i="44"/>
  <c r="Q15" i="44"/>
  <c r="Q14" i="44"/>
  <c r="Q13" i="44"/>
  <c r="Q12" i="44"/>
  <c r="Q11" i="44"/>
  <c r="Q10" i="44"/>
  <c r="Q9" i="44"/>
  <c r="Q8" i="44"/>
  <c r="Q7" i="44"/>
  <c r="Q6" i="44"/>
  <c r="Q33" i="26"/>
  <c r="Q32" i="26"/>
  <c r="Q31" i="26"/>
  <c r="Q30" i="26"/>
  <c r="Q29" i="26"/>
  <c r="Q28" i="26"/>
  <c r="Q27" i="26"/>
  <c r="Q18" i="26"/>
  <c r="Q17" i="26"/>
  <c r="Q16" i="26"/>
  <c r="Q15" i="26"/>
  <c r="Q14" i="26"/>
  <c r="Q13" i="26"/>
  <c r="Q12" i="26"/>
  <c r="Q11" i="26"/>
  <c r="Q10" i="26"/>
  <c r="Q9" i="26"/>
  <c r="Q8" i="26"/>
  <c r="Q7" i="26"/>
  <c r="Q6" i="26"/>
  <c r="K12" i="46"/>
  <c r="Q10" i="46"/>
  <c r="Q8" i="46"/>
  <c r="Q7" i="46"/>
  <c r="Q6" i="46"/>
  <c r="M24" i="23" l="1"/>
  <c r="C30" i="17" l="1"/>
  <c r="F30" i="99" s="1"/>
  <c r="O24" i="23" l="1"/>
  <c r="O15" i="23"/>
  <c r="P50" i="20"/>
  <c r="Q41" i="29" l="1"/>
  <c r="S41" i="29"/>
  <c r="R41" i="29"/>
  <c r="P41" i="29"/>
  <c r="O41" i="29"/>
  <c r="N41" i="29"/>
  <c r="E17" i="89" s="1"/>
  <c r="M41" i="29"/>
  <c r="L41" i="29"/>
  <c r="K41" i="29"/>
  <c r="J41" i="29"/>
  <c r="I41" i="29"/>
  <c r="H41" i="29"/>
  <c r="G41" i="29"/>
  <c r="F41" i="29"/>
  <c r="D41" i="29"/>
  <c r="E57" i="84" l="1"/>
  <c r="Q50" i="20"/>
  <c r="P8" i="19" l="1"/>
  <c r="P12" i="16" l="1"/>
  <c r="P41" i="20" l="1"/>
  <c r="L16" i="18"/>
  <c r="K16" i="18"/>
  <c r="Q15" i="39"/>
  <c r="Q14" i="39"/>
  <c r="Q13" i="39"/>
  <c r="Q12" i="39"/>
  <c r="Q11" i="39"/>
  <c r="Q10" i="39"/>
  <c r="Q9" i="39"/>
  <c r="Q8" i="39"/>
  <c r="Q7" i="39"/>
  <c r="Q6" i="39"/>
  <c r="Q39" i="35"/>
  <c r="Q38" i="35"/>
  <c r="Q37" i="35"/>
  <c r="Q36" i="35"/>
  <c r="Q35" i="35"/>
  <c r="Q34" i="35"/>
  <c r="Q33" i="35"/>
  <c r="Q32" i="35"/>
  <c r="N31" i="35"/>
  <c r="Q31" i="35" s="1"/>
  <c r="Q31" i="54"/>
  <c r="Q30" i="54"/>
  <c r="Q29" i="54"/>
  <c r="Q28" i="54"/>
  <c r="P28" i="54"/>
  <c r="Q27" i="54"/>
  <c r="P26" i="54"/>
  <c r="N26" i="54"/>
  <c r="Q26" i="54" s="1"/>
  <c r="Q25" i="54"/>
  <c r="Q24" i="54"/>
  <c r="Q21" i="27"/>
  <c r="Q20" i="27"/>
  <c r="Q19" i="27"/>
  <c r="Q18" i="27"/>
  <c r="Q17" i="27"/>
  <c r="Q16" i="27"/>
  <c r="Q15" i="27"/>
  <c r="Q14" i="27"/>
  <c r="Q13" i="27"/>
  <c r="Q12" i="27"/>
  <c r="Q11" i="27"/>
  <c r="Q10" i="27"/>
  <c r="Q9" i="27"/>
  <c r="Q8" i="27"/>
  <c r="Q7" i="27"/>
  <c r="Q6" i="27"/>
  <c r="Q9" i="46"/>
  <c r="H22" i="89"/>
  <c r="D22" i="89"/>
  <c r="J21" i="89"/>
  <c r="K21" i="89" s="1"/>
  <c r="J20" i="89"/>
  <c r="K20" i="89" s="1"/>
  <c r="F20" i="89"/>
  <c r="G20" i="89" s="1"/>
  <c r="J19" i="89"/>
  <c r="K19" i="89" s="1"/>
  <c r="J18" i="89"/>
  <c r="K18" i="89" s="1"/>
  <c r="J17" i="89"/>
  <c r="K17" i="89" s="1"/>
  <c r="F17" i="89"/>
  <c r="G17" i="89" s="1"/>
  <c r="J16" i="89"/>
  <c r="K16" i="89" s="1"/>
  <c r="F16" i="89"/>
  <c r="G16" i="89" s="1"/>
  <c r="J15" i="89"/>
  <c r="K15" i="89" s="1"/>
  <c r="J14" i="89"/>
  <c r="J13" i="89"/>
  <c r="K13" i="89" s="1"/>
  <c r="J12" i="89"/>
  <c r="K12" i="89" s="1"/>
  <c r="J11" i="89"/>
  <c r="K11" i="89" s="1"/>
  <c r="J10" i="89"/>
  <c r="K10" i="89" s="1"/>
  <c r="J9" i="89"/>
  <c r="K9" i="89" s="1"/>
  <c r="J8" i="89"/>
  <c r="K8" i="89" s="1"/>
  <c r="J7" i="89"/>
  <c r="K7" i="89" s="1"/>
  <c r="J6" i="89"/>
  <c r="K6" i="89" s="1"/>
  <c r="J5" i="89"/>
  <c r="F4" i="88"/>
  <c r="D4" i="88"/>
  <c r="J22" i="89" l="1"/>
  <c r="Q17" i="39"/>
  <c r="K5" i="89"/>
  <c r="G46" i="41"/>
  <c r="D31" i="44"/>
  <c r="P6" i="19" l="1"/>
  <c r="P15" i="14" l="1"/>
  <c r="P6" i="14"/>
  <c r="AA33" i="17" l="1"/>
  <c r="C8" i="36"/>
  <c r="D8" i="36" l="1"/>
  <c r="D55" i="36" s="1"/>
  <c r="B22" i="89"/>
  <c r="K22" i="89" s="1"/>
  <c r="B8" i="88"/>
  <c r="P34" i="23" l="1"/>
  <c r="P7" i="23"/>
  <c r="M27" i="19" l="1"/>
  <c r="L27" i="19"/>
  <c r="K27" i="19"/>
  <c r="P25" i="19"/>
  <c r="J17" i="18"/>
  <c r="F9" i="17"/>
  <c r="P17" i="18" l="1"/>
  <c r="P32" i="54"/>
  <c r="N32" i="54"/>
  <c r="E13" i="89" s="1"/>
  <c r="F13" i="89" s="1"/>
  <c r="G13" i="89" s="1"/>
  <c r="N50" i="44"/>
  <c r="E9" i="89" s="1"/>
  <c r="F9" i="89" s="1"/>
  <c r="G9" i="89" s="1"/>
  <c r="P23" i="35"/>
  <c r="O23" i="35"/>
  <c r="S23" i="35"/>
  <c r="R23" i="35"/>
  <c r="N23" i="35"/>
  <c r="E14" i="89" s="1"/>
  <c r="F14" i="89" s="1"/>
  <c r="G14" i="89" s="1"/>
  <c r="M23" i="35"/>
  <c r="L23" i="35"/>
  <c r="J23" i="35"/>
  <c r="I23" i="35"/>
  <c r="H23" i="35"/>
  <c r="G23" i="35"/>
  <c r="F23" i="35"/>
  <c r="D23" i="35"/>
  <c r="S32" i="54"/>
  <c r="R32" i="54"/>
  <c r="O32" i="54"/>
  <c r="M32" i="54"/>
  <c r="L32" i="54"/>
  <c r="K32" i="54"/>
  <c r="J32" i="54"/>
  <c r="I32" i="54"/>
  <c r="H32" i="54"/>
  <c r="G32" i="54"/>
  <c r="F32" i="54"/>
  <c r="D32" i="54"/>
  <c r="S50" i="44"/>
  <c r="R50" i="44"/>
  <c r="P50" i="44"/>
  <c r="O50" i="44"/>
  <c r="M50" i="44"/>
  <c r="L50" i="44"/>
  <c r="J50" i="44"/>
  <c r="I50" i="44"/>
  <c r="H50" i="44"/>
  <c r="G50" i="44"/>
  <c r="F50" i="44"/>
  <c r="D50" i="44"/>
  <c r="D34" i="26"/>
  <c r="G34" i="26"/>
  <c r="H34" i="26"/>
  <c r="I34" i="26"/>
  <c r="J34" i="26"/>
  <c r="K34" i="26"/>
  <c r="L34" i="26"/>
  <c r="M34" i="26"/>
  <c r="N34" i="26"/>
  <c r="E7" i="89" s="1"/>
  <c r="F7" i="89" s="1"/>
  <c r="G7" i="89" s="1"/>
  <c r="O34" i="26"/>
  <c r="P34" i="26"/>
  <c r="R34" i="26"/>
  <c r="S34" i="26"/>
  <c r="F34" i="26"/>
  <c r="P42" i="23"/>
  <c r="P15" i="21"/>
  <c r="P16" i="19"/>
  <c r="P7" i="19"/>
  <c r="Q16" i="20" l="1"/>
  <c r="M16" i="20"/>
  <c r="N16" i="20"/>
  <c r="P26" i="19"/>
  <c r="I6" i="17" l="1"/>
  <c r="J7" i="17"/>
  <c r="I7" i="17"/>
  <c r="M7" i="17"/>
  <c r="L7" i="17"/>
  <c r="N7" i="17"/>
  <c r="P7" i="17" l="1"/>
  <c r="Q20" i="17"/>
  <c r="I23" i="17"/>
  <c r="Q23" i="17" l="1"/>
  <c r="P50" i="23"/>
  <c r="Q7" i="23"/>
  <c r="Q6" i="23"/>
  <c r="Q15" i="21"/>
  <c r="N16" i="18"/>
  <c r="Q16" i="18"/>
  <c r="J7" i="16" l="1"/>
  <c r="Q24" i="23" l="1"/>
  <c r="N24" i="23"/>
  <c r="N15" i="23"/>
  <c r="N27" i="19" l="1"/>
  <c r="I17" i="18"/>
  <c r="O16" i="18" l="1"/>
  <c r="O7" i="17" l="1"/>
  <c r="Q26" i="11" l="1"/>
  <c r="F19" i="44" l="1"/>
  <c r="Q6" i="20" l="1"/>
  <c r="C52" i="36"/>
  <c r="G52" i="36" s="1"/>
  <c r="S41" i="39" l="1"/>
  <c r="R41" i="39"/>
  <c r="P41" i="39"/>
  <c r="O41" i="39"/>
  <c r="N41" i="39"/>
  <c r="E21" i="89" s="1"/>
  <c r="F21" i="89" s="1"/>
  <c r="G21" i="89" s="1"/>
  <c r="M41" i="39"/>
  <c r="L41" i="39"/>
  <c r="K41" i="39"/>
  <c r="I41" i="39"/>
  <c r="H41" i="39"/>
  <c r="G41" i="39"/>
  <c r="F41" i="39"/>
  <c r="D41" i="39"/>
  <c r="G220" i="41"/>
  <c r="S16" i="54"/>
  <c r="R16" i="54"/>
  <c r="P16" i="54"/>
  <c r="O16" i="54"/>
  <c r="N16" i="54"/>
  <c r="E12" i="89" s="1"/>
  <c r="M16" i="54"/>
  <c r="L16" i="54"/>
  <c r="K16" i="54"/>
  <c r="J16" i="54"/>
  <c r="I16" i="54"/>
  <c r="H16" i="54"/>
  <c r="G16" i="54"/>
  <c r="F16" i="54"/>
  <c r="D16" i="54"/>
  <c r="R19" i="26"/>
  <c r="P19" i="26"/>
  <c r="O19" i="26"/>
  <c r="N19" i="26"/>
  <c r="E6" i="89" s="1"/>
  <c r="F6" i="89" s="1"/>
  <c r="G6" i="89" s="1"/>
  <c r="M19" i="26"/>
  <c r="L19" i="26"/>
  <c r="K19" i="26"/>
  <c r="J19" i="26"/>
  <c r="I19" i="26"/>
  <c r="H19" i="26"/>
  <c r="G19" i="26"/>
  <c r="F19" i="26"/>
  <c r="D19" i="26"/>
  <c r="F12" i="89" l="1"/>
  <c r="P16" i="20"/>
  <c r="D19" i="25"/>
  <c r="S19" i="25"/>
  <c r="R19" i="25"/>
  <c r="P19" i="25"/>
  <c r="O19" i="25"/>
  <c r="N19" i="25"/>
  <c r="E18" i="89" s="1"/>
  <c r="F18" i="89" s="1"/>
  <c r="G18" i="89" s="1"/>
  <c r="M19" i="25"/>
  <c r="L19" i="25"/>
  <c r="J19" i="25"/>
  <c r="I19" i="25"/>
  <c r="H19" i="25"/>
  <c r="G19" i="25"/>
  <c r="F19" i="25"/>
  <c r="S40" i="25"/>
  <c r="R40" i="25"/>
  <c r="P40" i="25"/>
  <c r="O40" i="25"/>
  <c r="N40" i="25"/>
  <c r="E19" i="89" s="1"/>
  <c r="F19" i="89" s="1"/>
  <c r="G19" i="89" s="1"/>
  <c r="M40" i="25"/>
  <c r="L40" i="25"/>
  <c r="K40" i="25"/>
  <c r="J40" i="25"/>
  <c r="I40" i="25"/>
  <c r="H40" i="25"/>
  <c r="G40" i="25"/>
  <c r="F40" i="25"/>
  <c r="D40" i="25"/>
  <c r="T40" i="11"/>
  <c r="O46" i="11" l="1"/>
  <c r="E19" i="18" l="1"/>
  <c r="F19" i="18"/>
  <c r="G19" i="18"/>
  <c r="H19" i="18"/>
  <c r="I19" i="18"/>
  <c r="J19" i="18"/>
  <c r="K19" i="18"/>
  <c r="L19" i="18"/>
  <c r="M19" i="18"/>
  <c r="N19" i="18"/>
  <c r="O19" i="18"/>
  <c r="R19" i="18"/>
  <c r="S19" i="18"/>
  <c r="T19" i="18"/>
  <c r="V19" i="18"/>
  <c r="X19" i="18"/>
  <c r="Y19" i="18"/>
  <c r="Z19" i="18"/>
  <c r="C19" i="18"/>
  <c r="K50" i="44"/>
  <c r="S19" i="44" l="1"/>
  <c r="R19" i="44"/>
  <c r="P19" i="44"/>
  <c r="O19" i="44"/>
  <c r="N19" i="44"/>
  <c r="E8" i="89" s="1"/>
  <c r="F8" i="89" s="1"/>
  <c r="G8" i="89" s="1"/>
  <c r="M19" i="44"/>
  <c r="L19" i="44"/>
  <c r="K19" i="44"/>
  <c r="J19" i="44"/>
  <c r="H19" i="44"/>
  <c r="G19" i="44"/>
  <c r="D19" i="44"/>
  <c r="J41" i="39"/>
  <c r="K19" i="25" l="1"/>
  <c r="V7" i="14"/>
  <c r="W7" i="14"/>
  <c r="X7" i="14"/>
  <c r="Y7" i="14"/>
  <c r="Z7" i="14"/>
  <c r="AA7" i="14"/>
  <c r="V9" i="19" l="1"/>
  <c r="W9" i="19"/>
  <c r="X9" i="19"/>
  <c r="Z9" i="19"/>
  <c r="D23" i="27" l="1"/>
  <c r="S40" i="35" l="1"/>
  <c r="R40" i="35"/>
  <c r="P40" i="35"/>
  <c r="O40" i="35"/>
  <c r="N40" i="35"/>
  <c r="E15" i="89" s="1"/>
  <c r="F15" i="89" s="1"/>
  <c r="G15" i="89" s="1"/>
  <c r="M40" i="35"/>
  <c r="L40" i="35"/>
  <c r="K40" i="35"/>
  <c r="J40" i="35"/>
  <c r="I40" i="35"/>
  <c r="H40" i="35"/>
  <c r="G40" i="35"/>
  <c r="F40" i="35"/>
  <c r="D40" i="35"/>
  <c r="F23" i="27"/>
  <c r="F14" i="16" l="1"/>
  <c r="G14" i="16"/>
  <c r="H14" i="16"/>
  <c r="K14" i="16"/>
  <c r="L14" i="16"/>
  <c r="M14" i="16"/>
  <c r="N14" i="16"/>
  <c r="O14" i="16"/>
  <c r="Q14" i="16"/>
  <c r="R14" i="16"/>
  <c r="S14" i="16"/>
  <c r="T14" i="16"/>
  <c r="V14" i="16"/>
  <c r="W14" i="16"/>
  <c r="X14" i="16"/>
  <c r="Y14" i="16"/>
  <c r="E14" i="16"/>
  <c r="T25" i="16" l="1"/>
  <c r="U16" i="24"/>
  <c r="W16" i="24"/>
  <c r="Y16" i="24"/>
  <c r="Z16" i="24"/>
  <c r="AA7" i="43"/>
  <c r="Z7" i="43"/>
  <c r="Y7" i="43"/>
  <c r="X7" i="43"/>
  <c r="W7" i="43"/>
  <c r="V7" i="43"/>
  <c r="Z34" i="24"/>
  <c r="Y34" i="24"/>
  <c r="X34" i="24"/>
  <c r="W34" i="24"/>
  <c r="V34" i="24"/>
  <c r="U34" i="24"/>
  <c r="Z26" i="24"/>
  <c r="Y26" i="24"/>
  <c r="X26" i="24"/>
  <c r="W26" i="24"/>
  <c r="V26" i="24"/>
  <c r="U26" i="24"/>
  <c r="Z7" i="24"/>
  <c r="Y7" i="24"/>
  <c r="X7" i="24"/>
  <c r="W7" i="24"/>
  <c r="V7" i="24"/>
  <c r="U7" i="24"/>
  <c r="V8" i="23"/>
  <c r="W8" i="23"/>
  <c r="X8" i="23"/>
  <c r="Y8" i="23"/>
  <c r="Z8" i="23"/>
  <c r="AA8" i="23"/>
  <c r="W16" i="23"/>
  <c r="V16" i="23"/>
  <c r="AA25" i="23"/>
  <c r="Z25" i="23"/>
  <c r="Y25" i="23"/>
  <c r="X25" i="23"/>
  <c r="W25" i="23"/>
  <c r="V25" i="23"/>
  <c r="AA35" i="23"/>
  <c r="Z35" i="23"/>
  <c r="Y35" i="23"/>
  <c r="X35" i="23"/>
  <c r="W35" i="23"/>
  <c r="V35" i="23"/>
  <c r="AA43" i="23"/>
  <c r="Z43" i="23"/>
  <c r="Y43" i="23"/>
  <c r="X43" i="23"/>
  <c r="W43" i="23"/>
  <c r="V43" i="23"/>
  <c r="AA51" i="23"/>
  <c r="Z51" i="23"/>
  <c r="Y51" i="23"/>
  <c r="X51" i="23"/>
  <c r="W51" i="23"/>
  <c r="V51" i="23"/>
  <c r="AA7" i="42"/>
  <c r="Z7" i="42"/>
  <c r="Y7" i="42"/>
  <c r="X7" i="42"/>
  <c r="W7" i="42"/>
  <c r="V7" i="42"/>
  <c r="AA7" i="22"/>
  <c r="Z7" i="22"/>
  <c r="Y7" i="22"/>
  <c r="X7" i="22"/>
  <c r="W7" i="22"/>
  <c r="V7" i="22"/>
  <c r="AA16" i="21"/>
  <c r="Z16" i="21"/>
  <c r="Y16" i="21"/>
  <c r="X16" i="21"/>
  <c r="W16" i="21"/>
  <c r="V16" i="21"/>
  <c r="AA7" i="21"/>
  <c r="Z7" i="21"/>
  <c r="Y7" i="21"/>
  <c r="X7" i="21"/>
  <c r="W7" i="21"/>
  <c r="V7" i="21"/>
  <c r="AA51" i="20"/>
  <c r="Z51" i="20"/>
  <c r="Y51" i="20"/>
  <c r="X51" i="20"/>
  <c r="W51" i="20"/>
  <c r="V51" i="20"/>
  <c r="AA42" i="20"/>
  <c r="Z42" i="20"/>
  <c r="Y42" i="20"/>
  <c r="X42" i="20"/>
  <c r="W42" i="20"/>
  <c r="V42" i="20"/>
  <c r="AA34" i="20"/>
  <c r="Z34" i="20"/>
  <c r="Y34" i="20"/>
  <c r="X34" i="20"/>
  <c r="W34" i="20"/>
  <c r="V34" i="20"/>
  <c r="W25" i="20"/>
  <c r="X25" i="20"/>
  <c r="Y25" i="20"/>
  <c r="Z25" i="20"/>
  <c r="AA25" i="20"/>
  <c r="V25" i="20"/>
  <c r="V16" i="20"/>
  <c r="W16" i="20"/>
  <c r="X16" i="20"/>
  <c r="Y16" i="20"/>
  <c r="Z16" i="20"/>
  <c r="AA16" i="20"/>
  <c r="V7" i="20"/>
  <c r="W7" i="20"/>
  <c r="X7" i="20"/>
  <c r="Y7" i="20"/>
  <c r="Z7" i="20"/>
  <c r="AA7" i="20"/>
  <c r="W28" i="19"/>
  <c r="X28" i="19"/>
  <c r="Y28" i="19"/>
  <c r="Z28" i="19"/>
  <c r="AA28" i="19"/>
  <c r="V28" i="19"/>
  <c r="W17" i="19"/>
  <c r="X17" i="19"/>
  <c r="Z17" i="19"/>
  <c r="V17" i="19"/>
  <c r="W33" i="17"/>
  <c r="X33" i="17"/>
  <c r="Y33" i="17"/>
  <c r="Z33" i="17"/>
  <c r="V33" i="17"/>
  <c r="V23" i="17"/>
  <c r="V12" i="17"/>
  <c r="X12" i="17"/>
  <c r="Y12" i="17"/>
  <c r="Z12" i="17"/>
  <c r="AA12" i="17"/>
  <c r="V8" i="18"/>
  <c r="X8" i="18"/>
  <c r="Y8" i="18"/>
  <c r="Z8" i="18"/>
  <c r="AA8" i="18"/>
  <c r="V25" i="16"/>
  <c r="W25" i="16"/>
  <c r="X25" i="16"/>
  <c r="Y25" i="16"/>
  <c r="Z25" i="16"/>
  <c r="AA25" i="16"/>
  <c r="V16" i="14"/>
  <c r="W16" i="14"/>
  <c r="X16" i="14"/>
  <c r="Y16" i="14"/>
  <c r="Z16" i="14"/>
  <c r="AA16" i="14"/>
  <c r="U51" i="23"/>
  <c r="T51" i="23"/>
  <c r="S51" i="23"/>
  <c r="R51" i="23"/>
  <c r="O51" i="23"/>
  <c r="N51" i="23"/>
  <c r="M51" i="23"/>
  <c r="L51" i="23"/>
  <c r="K51" i="23"/>
  <c r="J51" i="23"/>
  <c r="I51" i="23"/>
  <c r="H51" i="23"/>
  <c r="G51" i="23"/>
  <c r="F51" i="23"/>
  <c r="E51" i="23"/>
  <c r="C51" i="23"/>
  <c r="Q51" i="23"/>
  <c r="P51" i="23"/>
  <c r="U43" i="23"/>
  <c r="T43" i="23"/>
  <c r="S43" i="23"/>
  <c r="R43" i="23"/>
  <c r="O43" i="23"/>
  <c r="N43" i="23"/>
  <c r="M43" i="23"/>
  <c r="L43" i="23"/>
  <c r="K43" i="23"/>
  <c r="J43" i="23"/>
  <c r="I43" i="23"/>
  <c r="H43" i="23"/>
  <c r="G43" i="23"/>
  <c r="F43" i="23"/>
  <c r="E43" i="23"/>
  <c r="C43" i="23"/>
  <c r="Q43" i="23"/>
  <c r="P43" i="23"/>
  <c r="U35" i="23"/>
  <c r="T35" i="23"/>
  <c r="S35" i="23"/>
  <c r="R35" i="23"/>
  <c r="Q35" i="23"/>
  <c r="O35" i="23"/>
  <c r="N35" i="23"/>
  <c r="M35" i="23"/>
  <c r="L35" i="23"/>
  <c r="K35" i="23"/>
  <c r="J35" i="23"/>
  <c r="I35" i="23"/>
  <c r="H35" i="23"/>
  <c r="G35" i="23"/>
  <c r="F35" i="23"/>
  <c r="E35" i="23"/>
  <c r="C35" i="23"/>
  <c r="P35" i="23"/>
  <c r="U25" i="23"/>
  <c r="T25" i="23"/>
  <c r="R25" i="23"/>
  <c r="P25" i="23"/>
  <c r="O25" i="23"/>
  <c r="N25" i="23"/>
  <c r="M25" i="23"/>
  <c r="L25" i="23"/>
  <c r="K25" i="23"/>
  <c r="J25" i="23"/>
  <c r="I25" i="23"/>
  <c r="H25" i="23"/>
  <c r="G25" i="23"/>
  <c r="F25" i="23"/>
  <c r="E25" i="23"/>
  <c r="C25" i="23"/>
  <c r="Q25" i="23"/>
  <c r="U16" i="23"/>
  <c r="T16" i="23"/>
  <c r="S16" i="23"/>
  <c r="R16" i="23"/>
  <c r="P16" i="23"/>
  <c r="O16" i="23"/>
  <c r="N16" i="23"/>
  <c r="M16" i="23"/>
  <c r="L16" i="23"/>
  <c r="K16" i="23"/>
  <c r="J16" i="23"/>
  <c r="I16" i="23"/>
  <c r="H16" i="23"/>
  <c r="G16" i="23"/>
  <c r="F16" i="23"/>
  <c r="E16" i="23"/>
  <c r="C16" i="23"/>
  <c r="Q16" i="23"/>
  <c r="U8" i="23"/>
  <c r="O45" i="11" s="1"/>
  <c r="T8" i="23"/>
  <c r="S8" i="23"/>
  <c r="R8" i="23"/>
  <c r="O8" i="23"/>
  <c r="N8" i="23"/>
  <c r="M8" i="23"/>
  <c r="L8" i="23"/>
  <c r="K8" i="23"/>
  <c r="J8" i="23"/>
  <c r="I8" i="23"/>
  <c r="H8" i="23"/>
  <c r="G8" i="23"/>
  <c r="F8" i="23"/>
  <c r="E8" i="23"/>
  <c r="C8" i="23"/>
  <c r="P8" i="23"/>
  <c r="Q8" i="23"/>
  <c r="C25" i="20" l="1"/>
  <c r="P23" i="16" l="1"/>
  <c r="C48" i="36"/>
  <c r="G48" i="36" s="1"/>
  <c r="C6" i="16" l="1"/>
  <c r="C14" i="16" s="1"/>
  <c r="C16" i="14" l="1"/>
  <c r="S23" i="27"/>
  <c r="R23" i="27"/>
  <c r="P23" i="27"/>
  <c r="O23" i="27"/>
  <c r="N23" i="27"/>
  <c r="E10" i="89" s="1"/>
  <c r="F10" i="89" s="1"/>
  <c r="G10" i="89" s="1"/>
  <c r="M23" i="27"/>
  <c r="L23" i="27"/>
  <c r="K23" i="27"/>
  <c r="J23" i="27"/>
  <c r="I23" i="27"/>
  <c r="H23" i="27"/>
  <c r="G23" i="27"/>
  <c r="F33" i="17" l="1"/>
  <c r="G33" i="17"/>
  <c r="H33" i="17"/>
  <c r="I33" i="17"/>
  <c r="K33" i="17"/>
  <c r="L33" i="17"/>
  <c r="M33" i="17"/>
  <c r="N33" i="17"/>
  <c r="O33" i="17"/>
  <c r="R33" i="17"/>
  <c r="S33" i="17"/>
  <c r="T33" i="17"/>
  <c r="U33" i="17"/>
  <c r="E33" i="17"/>
  <c r="F16" i="14"/>
  <c r="G16" i="14"/>
  <c r="H16" i="14"/>
  <c r="I16" i="14"/>
  <c r="J16" i="14"/>
  <c r="K16" i="14"/>
  <c r="L16" i="14"/>
  <c r="M16" i="14"/>
  <c r="N16" i="14"/>
  <c r="O16" i="14"/>
  <c r="R16" i="14"/>
  <c r="S16" i="14"/>
  <c r="T16" i="14"/>
  <c r="U16" i="14"/>
  <c r="E16" i="14"/>
  <c r="S46" i="27"/>
  <c r="R46" i="27"/>
  <c r="P46" i="27"/>
  <c r="O46" i="27"/>
  <c r="N46" i="27"/>
  <c r="E11" i="89" s="1"/>
  <c r="F11" i="89" s="1"/>
  <c r="G11" i="89" s="1"/>
  <c r="M46" i="27"/>
  <c r="L46" i="27"/>
  <c r="K46" i="27"/>
  <c r="J46" i="27"/>
  <c r="I46" i="27"/>
  <c r="H46" i="27"/>
  <c r="G46" i="27"/>
  <c r="F46" i="27"/>
  <c r="D46" i="27"/>
  <c r="G12" i="46"/>
  <c r="H12" i="46"/>
  <c r="I12" i="46"/>
  <c r="J12" i="46"/>
  <c r="L12" i="46"/>
  <c r="M12" i="46"/>
  <c r="N12" i="46"/>
  <c r="E5" i="89" s="1"/>
  <c r="O12" i="46"/>
  <c r="P12" i="46"/>
  <c r="R12" i="46"/>
  <c r="S12" i="46"/>
  <c r="F12" i="46"/>
  <c r="D12" i="46"/>
  <c r="F5" i="89" l="1"/>
  <c r="E22" i="89"/>
  <c r="T26" i="11"/>
  <c r="G5" i="89" l="1"/>
  <c r="F22" i="89"/>
  <c r="G22" i="89" s="1"/>
  <c r="P24" i="20"/>
  <c r="Q19" i="18"/>
  <c r="Q33" i="17"/>
  <c r="P33" i="17"/>
  <c r="P12" i="17" l="1"/>
  <c r="C33" i="17" l="1"/>
  <c r="J33" i="17"/>
  <c r="G39" i="84" l="1"/>
  <c r="P19" i="18" l="1"/>
  <c r="E52" i="36"/>
  <c r="J59" i="11" l="1"/>
  <c r="J37" i="84" l="1"/>
  <c r="J43" i="84" l="1"/>
  <c r="J42" i="84"/>
  <c r="J41" i="84"/>
  <c r="J40" i="84"/>
  <c r="J39" i="84"/>
  <c r="J38" i="84"/>
  <c r="J35" i="84"/>
  <c r="J36" i="84"/>
  <c r="J33" i="84"/>
  <c r="J32" i="84"/>
  <c r="J31" i="84"/>
  <c r="J30" i="84"/>
  <c r="Q44" i="11"/>
  <c r="Q43" i="11"/>
  <c r="Q42" i="11"/>
  <c r="Q41" i="11"/>
  <c r="Q40" i="11"/>
  <c r="Q39" i="11"/>
  <c r="Q38" i="11"/>
  <c r="Q37" i="11"/>
  <c r="G43" i="84"/>
  <c r="G37" i="84"/>
  <c r="C6" i="36" l="1"/>
  <c r="O8" i="11" l="1"/>
  <c r="G22" i="36" l="1"/>
  <c r="T44" i="11"/>
  <c r="C21" i="16" l="1"/>
  <c r="C25" i="16" l="1"/>
  <c r="C4" i="36"/>
  <c r="T36" i="11" l="1"/>
  <c r="T38" i="11"/>
  <c r="T39" i="11"/>
  <c r="Q16" i="14" l="1"/>
  <c r="P14" i="14"/>
  <c r="P16" i="14" s="1"/>
  <c r="Q6" i="43" l="1"/>
  <c r="Q7" i="43" s="1"/>
  <c r="Q7" i="22"/>
  <c r="Q16" i="21"/>
  <c r="R16" i="21"/>
  <c r="Q7" i="21"/>
  <c r="Q51" i="20"/>
  <c r="Q42" i="20"/>
  <c r="Q34" i="20"/>
  <c r="Q25" i="20"/>
  <c r="Q7" i="20"/>
  <c r="Q17" i="19"/>
  <c r="Q9" i="19"/>
  <c r="Q12" i="17"/>
  <c r="Q7" i="14"/>
  <c r="H9" i="84" l="1"/>
  <c r="C23" i="17" l="1"/>
  <c r="I14" i="16" l="1"/>
  <c r="C54" i="36"/>
  <c r="C53" i="36"/>
  <c r="G53" i="36" s="1"/>
  <c r="C51" i="36"/>
  <c r="C50" i="36"/>
  <c r="C47" i="36"/>
  <c r="G47" i="36" s="1"/>
  <c r="C46" i="36"/>
  <c r="G46" i="36" s="1"/>
  <c r="C45" i="36"/>
  <c r="G45" i="36" s="1"/>
  <c r="C44" i="36"/>
  <c r="G44" i="36" s="1"/>
  <c r="C43" i="36"/>
  <c r="C42" i="36"/>
  <c r="G42" i="36" s="1"/>
  <c r="C41" i="36"/>
  <c r="G41" i="36" s="1"/>
  <c r="C15" i="36"/>
  <c r="G15" i="36" s="1"/>
  <c r="C17" i="36"/>
  <c r="G17" i="36" s="1"/>
  <c r="C18" i="36"/>
  <c r="G18" i="36" s="1"/>
  <c r="C19" i="36"/>
  <c r="G19" i="36" s="1"/>
  <c r="C21" i="36"/>
  <c r="G21" i="36" s="1"/>
  <c r="C23" i="36"/>
  <c r="G23" i="36" s="1"/>
  <c r="C24" i="36"/>
  <c r="G24" i="36" s="1"/>
  <c r="C25" i="36"/>
  <c r="G25" i="36" s="1"/>
  <c r="C26" i="36"/>
  <c r="G26" i="36" s="1"/>
  <c r="C5" i="36"/>
  <c r="C7" i="36"/>
  <c r="C9" i="36"/>
  <c r="G9" i="36" s="1"/>
  <c r="C11" i="36"/>
  <c r="G11" i="36" s="1"/>
  <c r="C12" i="36"/>
  <c r="G54" i="36" l="1"/>
  <c r="O11" i="11"/>
  <c r="Q11" i="11" s="1"/>
  <c r="F52" i="36" l="1"/>
  <c r="Q58" i="11"/>
  <c r="Q56" i="11"/>
  <c r="H34" i="84"/>
  <c r="O57" i="11"/>
  <c r="O51" i="11"/>
  <c r="H50" i="84" s="1"/>
  <c r="J50" i="84" s="1"/>
  <c r="I59" i="11"/>
  <c r="Q57" i="11" l="1"/>
  <c r="H56" i="84"/>
  <c r="Q51" i="11"/>
  <c r="H55" i="84"/>
  <c r="J55" i="84" s="1"/>
  <c r="H57" i="84"/>
  <c r="J57" i="84" s="1"/>
  <c r="J25" i="84"/>
  <c r="F57" i="84"/>
  <c r="G57" i="84" s="1"/>
  <c r="P6" i="24"/>
  <c r="E58" i="84" l="1"/>
  <c r="J56" i="84" l="1"/>
  <c r="E9" i="19" l="1"/>
  <c r="E12" i="17"/>
  <c r="E23" i="17"/>
  <c r="E16" i="20"/>
  <c r="U16" i="20"/>
  <c r="F16" i="20"/>
  <c r="G16" i="20"/>
  <c r="H16" i="20"/>
  <c r="I16" i="20"/>
  <c r="J16" i="20"/>
  <c r="K16" i="20"/>
  <c r="L16" i="20"/>
  <c r="O16" i="20"/>
  <c r="R16" i="20"/>
  <c r="S16" i="20"/>
  <c r="T16" i="20"/>
  <c r="C16" i="20"/>
  <c r="T57" i="11" l="1"/>
  <c r="C9" i="19" l="1"/>
  <c r="N59" i="11"/>
  <c r="F9" i="19" l="1"/>
  <c r="G9" i="19"/>
  <c r="I9" i="19"/>
  <c r="J9" i="19"/>
  <c r="K9" i="19"/>
  <c r="L9" i="19"/>
  <c r="M9" i="19"/>
  <c r="E14" i="36" s="1"/>
  <c r="G14" i="36" s="1"/>
  <c r="N9" i="19"/>
  <c r="O9" i="19"/>
  <c r="R9" i="19"/>
  <c r="S9" i="19"/>
  <c r="T9" i="19"/>
  <c r="L16" i="11" l="1"/>
  <c r="F15" i="84" l="1"/>
  <c r="M16" i="11"/>
  <c r="U34" i="20"/>
  <c r="T34" i="20"/>
  <c r="S34" i="20"/>
  <c r="R34" i="20"/>
  <c r="O34" i="20"/>
  <c r="N34" i="20"/>
  <c r="M34" i="20"/>
  <c r="L34" i="20"/>
  <c r="K34" i="20"/>
  <c r="J34" i="20"/>
  <c r="I34" i="20"/>
  <c r="H34" i="20"/>
  <c r="G34" i="20"/>
  <c r="F34" i="20"/>
  <c r="E34" i="20"/>
  <c r="C34" i="20"/>
  <c r="P34" i="20"/>
  <c r="M12" i="11"/>
  <c r="G55" i="84" l="1"/>
  <c r="M56" i="11"/>
  <c r="F11" i="84"/>
  <c r="G11" i="84" s="1"/>
  <c r="M13" i="11"/>
  <c r="F12" i="84"/>
  <c r="G12" i="84" s="1"/>
  <c r="O12" i="11"/>
  <c r="Q12" i="11" s="1"/>
  <c r="H12" i="84" l="1"/>
  <c r="J12" i="84" s="1"/>
  <c r="Q13" i="11"/>
  <c r="H11" i="84"/>
  <c r="J11" i="84" s="1"/>
  <c r="T13" i="11"/>
  <c r="T12" i="11"/>
  <c r="L22" i="11" l="1"/>
  <c r="F21" i="84" s="1"/>
  <c r="G21" i="84" s="1"/>
  <c r="C20" i="36"/>
  <c r="G20" i="36" l="1"/>
  <c r="C55" i="36"/>
  <c r="M22" i="11"/>
  <c r="M25" i="16"/>
  <c r="L9" i="11" s="1"/>
  <c r="F8" i="84" l="1"/>
  <c r="H9" i="19"/>
  <c r="G8" i="84" l="1"/>
  <c r="M9" i="11"/>
  <c r="H7" i="84"/>
  <c r="J7" i="84" s="1"/>
  <c r="T8" i="11" l="1"/>
  <c r="Q8" i="11"/>
  <c r="J9" i="84" l="1"/>
  <c r="T10" i="11"/>
  <c r="T12" i="17"/>
  <c r="O19" i="11"/>
  <c r="H18" i="84" s="1"/>
  <c r="J18" i="84" s="1"/>
  <c r="H45" i="84"/>
  <c r="J45" i="84" s="1"/>
  <c r="Q18" i="11" l="1"/>
  <c r="H17" i="84"/>
  <c r="J17" i="84" s="1"/>
  <c r="T46" i="11"/>
  <c r="Q46" i="11"/>
  <c r="P9" i="19" l="1"/>
  <c r="I19" i="44"/>
  <c r="L49" i="11" l="1"/>
  <c r="F48" i="84" s="1"/>
  <c r="G48" i="84" s="1"/>
  <c r="L48" i="11"/>
  <c r="F47" i="84" s="1"/>
  <c r="G47" i="84" s="1"/>
  <c r="L47" i="11"/>
  <c r="F46" i="84" s="1"/>
  <c r="G46" i="84" s="1"/>
  <c r="L46" i="11"/>
  <c r="L7" i="24"/>
  <c r="M7" i="24"/>
  <c r="K7" i="24"/>
  <c r="F45" i="84" l="1"/>
  <c r="G45" i="84" s="1"/>
  <c r="M46" i="11"/>
  <c r="G50" i="84"/>
  <c r="M51" i="11"/>
  <c r="F47" i="36" l="1"/>
  <c r="H21" i="16"/>
  <c r="K59" i="11" l="1"/>
  <c r="E17" i="36" l="1"/>
  <c r="F17" i="36" s="1"/>
  <c r="F16" i="36"/>
  <c r="F11" i="36"/>
  <c r="E10" i="36"/>
  <c r="F10" i="36" s="1"/>
  <c r="O17" i="11" l="1"/>
  <c r="O16" i="11"/>
  <c r="H15" i="84" s="1"/>
  <c r="J15" i="84" s="1"/>
  <c r="F49" i="36"/>
  <c r="Q16" i="11" l="1"/>
  <c r="Q17" i="11"/>
  <c r="H16" i="84"/>
  <c r="J16" i="84" s="1"/>
  <c r="Q45" i="11" l="1"/>
  <c r="H44" i="84"/>
  <c r="J44" i="84" s="1"/>
  <c r="E13" i="36" l="1"/>
  <c r="F13" i="36" l="1"/>
  <c r="G13" i="36"/>
  <c r="Q6" i="42"/>
  <c r="Q7" i="42" s="1"/>
  <c r="Q19" i="25" l="1"/>
  <c r="Q50" i="44" l="1"/>
  <c r="Q16" i="54"/>
  <c r="Q32" i="54" l="1"/>
  <c r="Q40" i="35"/>
  <c r="Q23" i="27"/>
  <c r="G34" i="24" l="1"/>
  <c r="H34" i="24"/>
  <c r="I34" i="24"/>
  <c r="E14" i="24"/>
  <c r="G26" i="24"/>
  <c r="H26" i="24"/>
  <c r="G7" i="24"/>
  <c r="H7" i="24"/>
  <c r="L14" i="24" l="1"/>
  <c r="O14" i="24"/>
  <c r="N14" i="24"/>
  <c r="G14" i="24"/>
  <c r="G16" i="24" s="1"/>
  <c r="K14" i="24"/>
  <c r="R14" i="24"/>
  <c r="M14" i="24"/>
  <c r="I14" i="24"/>
  <c r="I16" i="24" s="1"/>
  <c r="Q14" i="24"/>
  <c r="H14" i="24"/>
  <c r="H16" i="24" s="1"/>
  <c r="Q12" i="46" l="1"/>
  <c r="O27" i="11"/>
  <c r="O28" i="11"/>
  <c r="O29" i="11"/>
  <c r="H28" i="84" s="1"/>
  <c r="J28" i="84" s="1"/>
  <c r="T35" i="11"/>
  <c r="Q27" i="11" l="1"/>
  <c r="H26" i="84"/>
  <c r="J26" i="84" s="1"/>
  <c r="Q28" i="11"/>
  <c r="H27" i="84"/>
  <c r="J27" i="84" s="1"/>
  <c r="Q29" i="11"/>
  <c r="T27" i="11"/>
  <c r="T29" i="11"/>
  <c r="T28" i="11"/>
  <c r="P8" i="18" l="1"/>
  <c r="E25" i="16"/>
  <c r="F7" i="84" l="1"/>
  <c r="E6" i="36"/>
  <c r="F6" i="36" l="1"/>
  <c r="G6" i="36"/>
  <c r="G7" i="84"/>
  <c r="Q19" i="44"/>
  <c r="U7" i="43" l="1"/>
  <c r="T7" i="43"/>
  <c r="S7" i="43"/>
  <c r="R7" i="43"/>
  <c r="P7" i="43"/>
  <c r="O7" i="43"/>
  <c r="N7" i="43"/>
  <c r="M7" i="43"/>
  <c r="L57" i="11" s="1"/>
  <c r="M57" i="11" s="1"/>
  <c r="L7" i="43"/>
  <c r="K7" i="43"/>
  <c r="J7" i="43"/>
  <c r="I7" i="43"/>
  <c r="H7" i="43"/>
  <c r="G7" i="43"/>
  <c r="F7" i="43"/>
  <c r="E7" i="43"/>
  <c r="C7" i="43"/>
  <c r="T45" i="11"/>
  <c r="T56" i="11"/>
  <c r="T58" i="11"/>
  <c r="U7" i="42"/>
  <c r="T7" i="42"/>
  <c r="S7" i="42"/>
  <c r="R7" i="42"/>
  <c r="O7" i="42"/>
  <c r="N7" i="42"/>
  <c r="M7" i="42"/>
  <c r="L35" i="11" s="1"/>
  <c r="L7" i="42"/>
  <c r="K7" i="42"/>
  <c r="J7" i="42"/>
  <c r="I7" i="42"/>
  <c r="H7" i="42"/>
  <c r="G7" i="42"/>
  <c r="F7" i="42"/>
  <c r="E7" i="42"/>
  <c r="C7" i="42"/>
  <c r="P7" i="42"/>
  <c r="E53" i="36" l="1"/>
  <c r="F56" i="84"/>
  <c r="M7" i="21"/>
  <c r="E24" i="36" s="1"/>
  <c r="P16" i="21"/>
  <c r="F14" i="24"/>
  <c r="P23" i="17"/>
  <c r="L23" i="11"/>
  <c r="L19" i="11"/>
  <c r="L18" i="11"/>
  <c r="O23" i="11"/>
  <c r="H22" i="84" s="1"/>
  <c r="J22" i="84" s="1"/>
  <c r="O22" i="11"/>
  <c r="H21" i="84" s="1"/>
  <c r="J21" i="84" s="1"/>
  <c r="G16" i="21"/>
  <c r="H16" i="21"/>
  <c r="G7" i="21"/>
  <c r="H7" i="21"/>
  <c r="G7" i="22"/>
  <c r="H7" i="22"/>
  <c r="G25" i="20"/>
  <c r="H25" i="20"/>
  <c r="H42" i="20"/>
  <c r="G42" i="20"/>
  <c r="G7" i="20"/>
  <c r="H7" i="20"/>
  <c r="G51" i="20"/>
  <c r="H51" i="20"/>
  <c r="G28" i="19"/>
  <c r="H28" i="19"/>
  <c r="G8" i="18"/>
  <c r="H8" i="18"/>
  <c r="G25" i="16"/>
  <c r="H25" i="16"/>
  <c r="G7" i="14"/>
  <c r="H7" i="14"/>
  <c r="G17" i="19"/>
  <c r="H17" i="19"/>
  <c r="I17" i="19"/>
  <c r="G23" i="17"/>
  <c r="H23" i="17"/>
  <c r="G12" i="17"/>
  <c r="H12" i="17"/>
  <c r="T7" i="14"/>
  <c r="P7" i="24"/>
  <c r="L16" i="24"/>
  <c r="P34" i="24"/>
  <c r="C12" i="17"/>
  <c r="E59" i="11"/>
  <c r="C7" i="22"/>
  <c r="F7" i="20"/>
  <c r="I7" i="20"/>
  <c r="J7" i="20"/>
  <c r="K7" i="20"/>
  <c r="L7" i="20"/>
  <c r="M7" i="20"/>
  <c r="N7" i="20"/>
  <c r="O7" i="20"/>
  <c r="R7" i="20"/>
  <c r="S7" i="20"/>
  <c r="T7" i="20"/>
  <c r="U7" i="20"/>
  <c r="O20" i="11" s="1"/>
  <c r="H19" i="84" s="1"/>
  <c r="J19" i="84" s="1"/>
  <c r="E7" i="20"/>
  <c r="C7" i="20"/>
  <c r="P6" i="20"/>
  <c r="P7" i="20" s="1"/>
  <c r="O14" i="11"/>
  <c r="T8" i="18"/>
  <c r="R8" i="18"/>
  <c r="O8" i="18"/>
  <c r="N8" i="18"/>
  <c r="M8" i="18"/>
  <c r="L8" i="18"/>
  <c r="K8" i="18"/>
  <c r="J8" i="18"/>
  <c r="I8" i="18"/>
  <c r="F8" i="18"/>
  <c r="E8" i="18"/>
  <c r="C8" i="18"/>
  <c r="I25" i="16"/>
  <c r="J25" i="16"/>
  <c r="P26" i="24"/>
  <c r="P7" i="21"/>
  <c r="I51" i="20"/>
  <c r="J51" i="20"/>
  <c r="P51" i="20"/>
  <c r="P42" i="20"/>
  <c r="C34" i="24"/>
  <c r="C16" i="24"/>
  <c r="U25" i="20"/>
  <c r="S25" i="20"/>
  <c r="T25" i="20"/>
  <c r="R25" i="20"/>
  <c r="H6" i="84"/>
  <c r="J6" i="84" s="1"/>
  <c r="E5" i="36"/>
  <c r="G5" i="36" s="1"/>
  <c r="S12" i="17"/>
  <c r="J16" i="21"/>
  <c r="M34" i="24"/>
  <c r="T34" i="24"/>
  <c r="R34" i="24"/>
  <c r="F51" i="20"/>
  <c r="S34" i="24"/>
  <c r="Q34" i="24"/>
  <c r="O34" i="24"/>
  <c r="N34" i="24"/>
  <c r="L34" i="24"/>
  <c r="K34" i="24"/>
  <c r="J34" i="24"/>
  <c r="F34" i="24"/>
  <c r="E34" i="24"/>
  <c r="T26" i="24"/>
  <c r="S26" i="24"/>
  <c r="R26" i="24"/>
  <c r="Q26" i="24"/>
  <c r="O26" i="24"/>
  <c r="N26" i="24"/>
  <c r="M26" i="24"/>
  <c r="C6" i="88" s="1"/>
  <c r="D6" i="88" s="1"/>
  <c r="L26" i="24"/>
  <c r="K26" i="24"/>
  <c r="J26" i="24"/>
  <c r="I26" i="24"/>
  <c r="F26" i="24"/>
  <c r="E26" i="24"/>
  <c r="C26" i="24"/>
  <c r="T7" i="24"/>
  <c r="S7" i="24"/>
  <c r="R7" i="24"/>
  <c r="Q7" i="24"/>
  <c r="O7" i="24"/>
  <c r="N7" i="24"/>
  <c r="J7" i="24"/>
  <c r="I7" i="24"/>
  <c r="F7" i="24"/>
  <c r="E7" i="24"/>
  <c r="C7" i="24"/>
  <c r="O50" i="11"/>
  <c r="H49" i="84" s="1"/>
  <c r="J49" i="84" s="1"/>
  <c r="O49" i="11"/>
  <c r="H48" i="84" s="1"/>
  <c r="J48" i="84" s="1"/>
  <c r="E45" i="36"/>
  <c r="O48" i="11"/>
  <c r="H47" i="84" s="1"/>
  <c r="J47" i="84" s="1"/>
  <c r="E44" i="36"/>
  <c r="F44" i="36" s="1"/>
  <c r="O47" i="11"/>
  <c r="H46" i="84" s="1"/>
  <c r="J46" i="84" s="1"/>
  <c r="E43" i="36"/>
  <c r="F42" i="36"/>
  <c r="U7" i="22"/>
  <c r="T7" i="22"/>
  <c r="S7" i="22"/>
  <c r="R7" i="22"/>
  <c r="O7" i="22"/>
  <c r="N7" i="22"/>
  <c r="M7" i="22"/>
  <c r="L7" i="22"/>
  <c r="K7" i="22"/>
  <c r="J7" i="22"/>
  <c r="I7" i="22"/>
  <c r="F7" i="22"/>
  <c r="E7" i="22"/>
  <c r="P7" i="22"/>
  <c r="U16" i="21"/>
  <c r="T16" i="21"/>
  <c r="S16" i="21"/>
  <c r="O16" i="21"/>
  <c r="N16" i="21"/>
  <c r="M16" i="21"/>
  <c r="L16" i="21"/>
  <c r="K16" i="21"/>
  <c r="I16" i="21"/>
  <c r="F16" i="21"/>
  <c r="E16" i="21"/>
  <c r="C16" i="21"/>
  <c r="U7" i="21"/>
  <c r="T7" i="21"/>
  <c r="S7" i="21"/>
  <c r="R7" i="21"/>
  <c r="O7" i="21"/>
  <c r="N7" i="21"/>
  <c r="L7" i="21"/>
  <c r="K7" i="21"/>
  <c r="J7" i="21"/>
  <c r="I7" i="21"/>
  <c r="F7" i="21"/>
  <c r="E7" i="21"/>
  <c r="C7" i="21"/>
  <c r="U51" i="20"/>
  <c r="O25" i="11" s="1"/>
  <c r="T51" i="20"/>
  <c r="S51" i="20"/>
  <c r="R51" i="20"/>
  <c r="O51" i="20"/>
  <c r="N51" i="20"/>
  <c r="M51" i="20"/>
  <c r="L51" i="20"/>
  <c r="K51" i="20"/>
  <c r="E51" i="20"/>
  <c r="C51" i="20"/>
  <c r="U42" i="20"/>
  <c r="H23" i="84" s="1"/>
  <c r="J23" i="84" s="1"/>
  <c r="T42" i="20"/>
  <c r="S42" i="20"/>
  <c r="R42" i="20"/>
  <c r="O42" i="20"/>
  <c r="N42" i="20"/>
  <c r="M42" i="20"/>
  <c r="L42" i="20"/>
  <c r="K42" i="20"/>
  <c r="J42" i="20"/>
  <c r="I42" i="20"/>
  <c r="F42" i="20"/>
  <c r="E42" i="20"/>
  <c r="C42" i="20"/>
  <c r="O25" i="20"/>
  <c r="N25" i="20"/>
  <c r="M25" i="20"/>
  <c r="E20" i="36" s="1"/>
  <c r="F20" i="36" s="1"/>
  <c r="L25" i="20"/>
  <c r="K25" i="20"/>
  <c r="J25" i="20"/>
  <c r="I25" i="20"/>
  <c r="F25" i="20"/>
  <c r="E25" i="20"/>
  <c r="P25" i="20"/>
  <c r="O21" i="11"/>
  <c r="H20" i="84" s="1"/>
  <c r="J20" i="84" s="1"/>
  <c r="T28" i="19"/>
  <c r="S28" i="19"/>
  <c r="R28" i="19"/>
  <c r="O28" i="19"/>
  <c r="N28" i="19"/>
  <c r="M28" i="19"/>
  <c r="L28" i="19"/>
  <c r="K28" i="19"/>
  <c r="I28" i="19"/>
  <c r="F28" i="19"/>
  <c r="E28" i="19"/>
  <c r="C28" i="19"/>
  <c r="T17" i="19"/>
  <c r="S17" i="19"/>
  <c r="R17" i="19"/>
  <c r="O17" i="19"/>
  <c r="N17" i="19"/>
  <c r="M17" i="19"/>
  <c r="E15" i="36" s="1"/>
  <c r="F15" i="36" s="1"/>
  <c r="L17" i="19"/>
  <c r="K17" i="19"/>
  <c r="J17" i="19"/>
  <c r="F17" i="19"/>
  <c r="E17" i="19"/>
  <c r="C17" i="19"/>
  <c r="P17" i="19"/>
  <c r="O15" i="11"/>
  <c r="Q15" i="11" s="1"/>
  <c r="L15" i="11"/>
  <c r="M15" i="11" s="1"/>
  <c r="H10" i="84"/>
  <c r="J10" i="84" s="1"/>
  <c r="T23" i="17"/>
  <c r="S23" i="17"/>
  <c r="R23" i="17"/>
  <c r="O23" i="17"/>
  <c r="N23" i="17"/>
  <c r="M23" i="17"/>
  <c r="L11" i="11" s="1"/>
  <c r="L23" i="17"/>
  <c r="K23" i="17"/>
  <c r="J23" i="17"/>
  <c r="F23" i="17"/>
  <c r="R12" i="17"/>
  <c r="O12" i="17"/>
  <c r="N12" i="17"/>
  <c r="L12" i="17"/>
  <c r="K12" i="17"/>
  <c r="J12" i="17"/>
  <c r="I12" i="17"/>
  <c r="F12" i="17"/>
  <c r="U25" i="16"/>
  <c r="S25" i="16"/>
  <c r="R25" i="16"/>
  <c r="O25" i="16"/>
  <c r="N25" i="16"/>
  <c r="L25" i="16"/>
  <c r="K25" i="16"/>
  <c r="F25" i="16"/>
  <c r="U7" i="14"/>
  <c r="S7" i="14"/>
  <c r="R7" i="14"/>
  <c r="O7" i="14"/>
  <c r="N7" i="14"/>
  <c r="M7" i="14"/>
  <c r="L7" i="14"/>
  <c r="K7" i="14"/>
  <c r="J7" i="14"/>
  <c r="I7" i="14"/>
  <c r="F7" i="14"/>
  <c r="E7" i="14"/>
  <c r="C7" i="14"/>
  <c r="P7" i="14"/>
  <c r="M49" i="11"/>
  <c r="M48" i="11"/>
  <c r="M47" i="11"/>
  <c r="F43" i="36" l="1"/>
  <c r="G43" i="36"/>
  <c r="F5" i="36"/>
  <c r="L55" i="11"/>
  <c r="F54" i="84" s="1"/>
  <c r="G54" i="84" s="1"/>
  <c r="C7" i="88"/>
  <c r="D7" i="88" s="1"/>
  <c r="O54" i="11"/>
  <c r="H53" i="84" s="1"/>
  <c r="J53" i="84" s="1"/>
  <c r="E6" i="88"/>
  <c r="F6" i="88" s="1"/>
  <c r="O55" i="11"/>
  <c r="Q55" i="11" s="1"/>
  <c r="E7" i="88"/>
  <c r="F7" i="88" s="1"/>
  <c r="Q34" i="26"/>
  <c r="E12" i="36"/>
  <c r="Q8" i="18"/>
  <c r="Q19" i="26"/>
  <c r="Q40" i="25"/>
  <c r="Q41" i="39"/>
  <c r="Q46" i="27"/>
  <c r="H24" i="84"/>
  <c r="J24" i="84" s="1"/>
  <c r="Q25" i="16"/>
  <c r="F34" i="84"/>
  <c r="E4" i="36"/>
  <c r="G4" i="36" s="1"/>
  <c r="F45" i="36"/>
  <c r="H13" i="84"/>
  <c r="J13" i="84" s="1"/>
  <c r="Q14" i="11"/>
  <c r="M11" i="11"/>
  <c r="F10" i="84"/>
  <c r="G10" i="84" s="1"/>
  <c r="F14" i="84"/>
  <c r="G14" i="84" s="1"/>
  <c r="M23" i="11"/>
  <c r="F22" i="84"/>
  <c r="G22" i="84" s="1"/>
  <c r="H14" i="84"/>
  <c r="J14" i="84" s="1"/>
  <c r="M19" i="11"/>
  <c r="F18" i="84"/>
  <c r="G18" i="84" s="1"/>
  <c r="M18" i="11"/>
  <c r="F17" i="84"/>
  <c r="G17" i="84" s="1"/>
  <c r="T11" i="11"/>
  <c r="T7" i="11"/>
  <c r="Q7" i="11"/>
  <c r="Q48" i="11"/>
  <c r="T48" i="11"/>
  <c r="Q50" i="11"/>
  <c r="T50" i="11"/>
  <c r="Q47" i="11"/>
  <c r="T47" i="11"/>
  <c r="Q49" i="11"/>
  <c r="T49" i="11"/>
  <c r="L25" i="11"/>
  <c r="E23" i="36"/>
  <c r="F23" i="36" s="1"/>
  <c r="L45" i="11"/>
  <c r="E41" i="36"/>
  <c r="F41" i="36" s="1"/>
  <c r="L21" i="11"/>
  <c r="E19" i="36"/>
  <c r="F19" i="36" s="1"/>
  <c r="E22" i="36"/>
  <c r="F22" i="36" s="1"/>
  <c r="L24" i="11"/>
  <c r="L29" i="11"/>
  <c r="M29" i="11" s="1"/>
  <c r="E26" i="36"/>
  <c r="F26" i="36" s="1"/>
  <c r="L20" i="11"/>
  <c r="E18" i="36"/>
  <c r="F18" i="36" s="1"/>
  <c r="E9" i="36"/>
  <c r="F9" i="36" s="1"/>
  <c r="E46" i="36"/>
  <c r="F46" i="36" s="1"/>
  <c r="L50" i="11"/>
  <c r="L27" i="11"/>
  <c r="F26" i="84" s="1"/>
  <c r="G26" i="84" s="1"/>
  <c r="F24" i="36"/>
  <c r="E25" i="36"/>
  <c r="F25" i="36" s="1"/>
  <c r="L14" i="11"/>
  <c r="F14" i="36"/>
  <c r="E7" i="36"/>
  <c r="G7" i="36" s="1"/>
  <c r="L17" i="11"/>
  <c r="L54" i="11"/>
  <c r="P25" i="16"/>
  <c r="S16" i="24"/>
  <c r="N16" i="24"/>
  <c r="Q16" i="24"/>
  <c r="T14" i="11"/>
  <c r="M16" i="24"/>
  <c r="C5" i="88" s="1"/>
  <c r="R16" i="24"/>
  <c r="T16" i="11"/>
  <c r="T17" i="11"/>
  <c r="T18" i="11"/>
  <c r="Q19" i="11"/>
  <c r="T19" i="11"/>
  <c r="T15" i="11"/>
  <c r="O16" i="24"/>
  <c r="E16" i="24"/>
  <c r="F16" i="24"/>
  <c r="K16" i="24"/>
  <c r="T51" i="11"/>
  <c r="Q20" i="11"/>
  <c r="T20" i="11"/>
  <c r="Q21" i="11"/>
  <c r="T21" i="11"/>
  <c r="Q22" i="11"/>
  <c r="T22" i="11"/>
  <c r="Q24" i="11"/>
  <c r="T24" i="11"/>
  <c r="Q23" i="11"/>
  <c r="T23" i="11"/>
  <c r="M12" i="17"/>
  <c r="E8" i="36" s="1"/>
  <c r="G8" i="36" s="1"/>
  <c r="F12" i="36" l="1"/>
  <c r="G12" i="36"/>
  <c r="T55" i="11"/>
  <c r="Q54" i="11"/>
  <c r="T54" i="11"/>
  <c r="F7" i="36"/>
  <c r="H54" i="84"/>
  <c r="J54" i="84" s="1"/>
  <c r="F53" i="84"/>
  <c r="G53" i="84" s="1"/>
  <c r="E50" i="36"/>
  <c r="G50" i="36" s="1"/>
  <c r="E51" i="36"/>
  <c r="M55" i="11"/>
  <c r="D5" i="88"/>
  <c r="C8" i="88"/>
  <c r="Q52" i="11"/>
  <c r="E5" i="88"/>
  <c r="F4" i="36"/>
  <c r="L10" i="11"/>
  <c r="F8" i="36"/>
  <c r="T25" i="11"/>
  <c r="Q25" i="11"/>
  <c r="M54" i="11"/>
  <c r="F5" i="84"/>
  <c r="G5" i="84" s="1"/>
  <c r="M6" i="11"/>
  <c r="M28" i="11"/>
  <c r="F27" i="84"/>
  <c r="G27" i="84" s="1"/>
  <c r="M50" i="11"/>
  <c r="F49" i="84"/>
  <c r="G49" i="84" s="1"/>
  <c r="F28" i="84"/>
  <c r="G28" i="84" s="1"/>
  <c r="M21" i="11"/>
  <c r="F20" i="84"/>
  <c r="G20" i="84" s="1"/>
  <c r="M25" i="11"/>
  <c r="F24" i="84"/>
  <c r="G24" i="84" s="1"/>
  <c r="M17" i="11"/>
  <c r="F16" i="84"/>
  <c r="G16" i="84" s="1"/>
  <c r="M20" i="11"/>
  <c r="F19" i="84"/>
  <c r="G19" i="84" s="1"/>
  <c r="F23" i="84"/>
  <c r="G23" i="84" s="1"/>
  <c r="M14" i="11"/>
  <c r="F13" i="84"/>
  <c r="G13" i="84" s="1"/>
  <c r="M7" i="11"/>
  <c r="F6" i="84"/>
  <c r="M45" i="11"/>
  <c r="F44" i="84"/>
  <c r="G44" i="84" s="1"/>
  <c r="M27" i="11"/>
  <c r="L52" i="11"/>
  <c r="E48" i="36"/>
  <c r="F48" i="36" s="1"/>
  <c r="F51" i="84" l="1" a="1"/>
  <c r="F51" i="84" s="1"/>
  <c r="G51" i="84" s="1"/>
  <c r="M52" i="11"/>
  <c r="F51" i="36"/>
  <c r="G51" i="36"/>
  <c r="G55" i="36" s="1"/>
  <c r="M10" i="11"/>
  <c r="F9" i="84"/>
  <c r="T52" i="11"/>
  <c r="F5" i="88"/>
  <c r="E8" i="88"/>
  <c r="F8" i="88" s="1"/>
  <c r="J51" i="84"/>
  <c r="F50" i="36"/>
  <c r="G6" i="84"/>
  <c r="L59" i="11"/>
  <c r="M59" i="11" s="1"/>
  <c r="O6" i="11" l="1"/>
  <c r="H5" i="84" l="1"/>
  <c r="R6" i="11"/>
  <c r="Q6" i="11"/>
  <c r="T6" i="11"/>
  <c r="J5" i="84"/>
  <c r="S6" i="11" l="1"/>
  <c r="R59" i="11"/>
  <c r="S59" i="11" s="1"/>
  <c r="G9" i="84"/>
  <c r="D58" i="84"/>
  <c r="G15" i="84"/>
  <c r="F53" i="36" l="1"/>
  <c r="G56" i="84"/>
  <c r="F58" i="84" l="1"/>
  <c r="G58" i="84" s="1"/>
  <c r="E55" i="36"/>
  <c r="F55" i="36" s="1"/>
  <c r="P28" i="19"/>
  <c r="Q28" i="19"/>
  <c r="J28" i="19"/>
  <c r="K23" i="35"/>
  <c r="J14" i="24" s="1"/>
  <c r="J16" i="24" s="1"/>
  <c r="Q23" i="35" l="1"/>
  <c r="P14" i="24" l="1"/>
  <c r="P16" i="24" s="1"/>
  <c r="P14" i="16"/>
  <c r="J14" i="16"/>
  <c r="P59" i="11" l="1"/>
  <c r="O9" i="11"/>
  <c r="O59" i="11" l="1"/>
  <c r="Q59" i="11" s="1"/>
  <c r="H8" i="84"/>
  <c r="Q9" i="11"/>
  <c r="T9" i="11"/>
  <c r="T59" i="11" s="1"/>
  <c r="H58" i="84" l="1"/>
  <c r="J8" i="84"/>
  <c r="J58" i="8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<sst xmlns="http://schemas.openxmlformats.org/spreadsheetml/2006/main" count="4171" uniqueCount="879">
  <si>
    <t>Tipologie d'intervento</t>
  </si>
  <si>
    <t>Totale</t>
  </si>
  <si>
    <t>di cui trascinamenti</t>
  </si>
  <si>
    <t>1.2.1 - Attività dimostrative e azioni di informazione</t>
  </si>
  <si>
    <t>2</t>
  </si>
  <si>
    <t>2.1.1 - Sostegno per aiutare gli aventi diritto ad avvalersi di servizi di consulenza</t>
  </si>
  <si>
    <t>3</t>
  </si>
  <si>
    <t>3.1.1 - Sostegno alla nuova adesione a regimi di qualità</t>
  </si>
  <si>
    <t>3.2.1 - Sostegno per attività di informazione e promozione, svolte da associazioni di produttori nel mercato interno</t>
  </si>
  <si>
    <t>4</t>
  </si>
  <si>
    <t>4.1.1 - Sostegno a investimenti nelle aziende agricole</t>
  </si>
  <si>
    <t>4.2.1 - Sostegno a investimenti a favore della trasformazione/ commercializzazione e/o dello sviluppo dei prodotti agricoli</t>
  </si>
  <si>
    <t>4.3.1 - Miglioramento delle infrastrutture rurali destinate allo sviluppo del settore agroforestale</t>
  </si>
  <si>
    <t>4.3.2 - Efficientamento delle reti e risparmio idrico</t>
  </si>
  <si>
    <t>5</t>
  </si>
  <si>
    <t>5.1.1 - Investimenti in azioni di prevenzione</t>
  </si>
  <si>
    <t>5.2.1 - Investimenti in azioni di ripristino</t>
  </si>
  <si>
    <t>6</t>
  </si>
  <si>
    <t>6.1.1 - Aiuti all’avviamento di attività imprenditoriali per i giovani agricoltori</t>
  </si>
  <si>
    <t>6.2.1 - Aiuti all’avviamento di attività imprenditoriali per attività extra-agricole nelle zone rurali</t>
  </si>
  <si>
    <t>6.4.1 - Sostegno a investimenti nelle aziende agricole per la diversificazione e sviluppo di attività extra agricole</t>
  </si>
  <si>
    <t>6.4.2 - Sostegno a investimenti per lo sviluppo di imprese extra-agricole</t>
  </si>
  <si>
    <t>7</t>
  </si>
  <si>
    <t>7.1.1 - Sostegno per la stesura e l’aggiornamento dei Piani di tutela e di gestione dei siti Natura 2000 e di altre zone HVN</t>
  </si>
  <si>
    <t>7.2.1 - Sostegno per la creazione, il miglioramento o l’espansione di infrastrutture comunali e per le energie rinnovabili</t>
  </si>
  <si>
    <t>7.3.1 - Banda larga</t>
  </si>
  <si>
    <t>7.4.1 - Servizi di base a livello locale per la popolazione rurale</t>
  </si>
  <si>
    <t>7.5.1 - Infrastrutture turistiche su piccola scala</t>
  </si>
  <si>
    <t>7.6.1 - Sostegno per investimenti relativi a restauro e riqualificazione del patrimonio culturale e naturale dei villaggi</t>
  </si>
  <si>
    <t>8</t>
  </si>
  <si>
    <t>8.1.1 - Sostegno per i costi d'impianto e di mantenimento legati alla forestazione/all'imboschimento</t>
  </si>
  <si>
    <t>8.3.1 - Sostegno per la prevenzione dei danni arrecati alle foreste da incendi, calamità naturali ed eventi catastrofici</t>
  </si>
  <si>
    <t>8.6.1 - Investimenti in tecnologie silvicole, trasformazione, mobilitazione, commercializzazione dei prodotti delle foreste</t>
  </si>
  <si>
    <t>9</t>
  </si>
  <si>
    <t>9.1.1 - Costituzione di associazioni e organizzazioni di produttori</t>
  </si>
  <si>
    <t>10.1 - Trascinamenti</t>
  </si>
  <si>
    <t>10.1.1 - Difesa del suolo</t>
  </si>
  <si>
    <t>10.1.2 - Produzione integrata</t>
  </si>
  <si>
    <t>10.1.3 - Tutela dell’habitat della gallina prataiola</t>
  </si>
  <si>
    <t>10.1.5 - Conservazione di razze locali minacciate di abbandono</t>
  </si>
  <si>
    <t>10.1</t>
  </si>
  <si>
    <t>10.1.4 - Conservazione on farm delle risorse genetiche vegetali di interesse agrario a rischio di erosione genetica</t>
  </si>
  <si>
    <t>10.2.1 - Conservazione ex situ delle risorse genetiche vegetali e animali a rischio di erosione genetica</t>
  </si>
  <si>
    <t>11.1.1 - Pagamento al fine di adottare pratiche e metodi di produzione biologica</t>
  </si>
  <si>
    <t>11.2.1 - Pagamento al fine di mantenere pratiche e metodi di produzione biologica</t>
  </si>
  <si>
    <t xml:space="preserve"> 11.1</t>
  </si>
  <si>
    <t>11.2</t>
  </si>
  <si>
    <t xml:space="preserve"> 13.1- 13 2</t>
  </si>
  <si>
    <t>13.1.1 - Pagamento compensativo per le zone montane - 13.2.1 - Pagamento compensativo per altre zone soggette a vincoli naturali</t>
  </si>
  <si>
    <t>14.1</t>
  </si>
  <si>
    <t>14.1.1 - Pagamento per il miglioramento del benessere degli animali – settore ovino e caprino da latte - settore suini - settore bovino - da carne - settore bovino orientato alla produzione di latte</t>
  </si>
  <si>
    <t>15.1</t>
  </si>
  <si>
    <t>15.1.1 - Pagamento per impegni silvo-ambientali e impegni in materia di clima</t>
  </si>
  <si>
    <t>16.1</t>
  </si>
  <si>
    <t>16.1.1 - Costituzione e  funzionamento dei gruppi operativi del PEI</t>
  </si>
  <si>
    <t>16.2</t>
  </si>
  <si>
    <t>16.2.1 - Sostegno a progetti pilota e allo sviluppo di nuovi prodotti, pratiche, processi e tecnologie</t>
  </si>
  <si>
    <t>16 .4</t>
  </si>
  <si>
    <t>16.4.1 - Cooperazione di filiera</t>
  </si>
  <si>
    <t>16.5</t>
  </si>
  <si>
    <t>16.5.1 - Azioni congiunte per il cambiamento climatico e  approcci ambientali</t>
  </si>
  <si>
    <t>16.8</t>
  </si>
  <si>
    <t>16.8.1 - Sostegno alla stesura di piani di gestione forestale o di strumenti equivalenti</t>
  </si>
  <si>
    <t>16.9</t>
  </si>
  <si>
    <t>16.9.1 - Diversificazione delle attività agricole</t>
  </si>
  <si>
    <t>19.1</t>
  </si>
  <si>
    <t>19.1.1 - Sostegno preparatorio</t>
  </si>
  <si>
    <t>19.2</t>
  </si>
  <si>
    <t>19.2 - Leader</t>
  </si>
  <si>
    <t>19.3</t>
  </si>
  <si>
    <t>19.3.1 - Preparazione e realizzazione delle attività di cooperazione dei Gruppi di Azione Locale</t>
  </si>
  <si>
    <t>19.4</t>
  </si>
  <si>
    <t>19.4.1 - Sostegno per i costi di gestione e animazione</t>
  </si>
  <si>
    <t>Misure</t>
  </si>
  <si>
    <t>Data chiusura</t>
  </si>
  <si>
    <t>DGR</t>
  </si>
  <si>
    <t>Bando</t>
  </si>
  <si>
    <t>-</t>
  </si>
  <si>
    <t>Informazione e promozione</t>
  </si>
  <si>
    <t>PIF - Manifestazione di interesse</t>
  </si>
  <si>
    <t>Progetti individuali</t>
  </si>
  <si>
    <t>Precision Farming</t>
  </si>
  <si>
    <t>Pacchetto giovani (PG)</t>
  </si>
  <si>
    <t>Trasformazione prodotti agricoli</t>
  </si>
  <si>
    <t>Risparmio idrico</t>
  </si>
  <si>
    <t>Investimenti in azioni preventive realizzate da enti pubblici</t>
  </si>
  <si>
    <t>Investimenti in azioni preventive realizzate da aziende agricole</t>
  </si>
  <si>
    <t xml:space="preserve">Ripristino potenziale agricolo danneggiato </t>
  </si>
  <si>
    <t>Insediamento giovani</t>
  </si>
  <si>
    <t>Pacchetto giovani</t>
  </si>
  <si>
    <t>Avviamento attività</t>
  </si>
  <si>
    <t>Imprese extra agricole</t>
  </si>
  <si>
    <t>Energie Rinnovabili</t>
  </si>
  <si>
    <t>DGR
 banda larga</t>
  </si>
  <si>
    <t xml:space="preserve"> Infrastrutture turistiche</t>
  </si>
  <si>
    <t>Riqualificazione del patrimonio culturale e naturale</t>
  </si>
  <si>
    <t>Transizione</t>
  </si>
  <si>
    <t xml:space="preserve">Investimenti in tecnologie silvicole </t>
  </si>
  <si>
    <t>Costituzione di OP</t>
  </si>
  <si>
    <t>Bando per domanda di sostegno 2016</t>
  </si>
  <si>
    <t>Trascinamenti</t>
  </si>
  <si>
    <t>Annualita prec al 2015 e fino al 2016</t>
  </si>
  <si>
    <t>Costituzione GO (I fase)</t>
  </si>
  <si>
    <t>Sostegno a progetti pilota</t>
  </si>
  <si>
    <t>Cooperazione di filiera</t>
  </si>
  <si>
    <t>Cooperazione per i cambiamenti climatici</t>
  </si>
  <si>
    <t xml:space="preserve">Piani di gestione forestale </t>
  </si>
  <si>
    <t>Diversificazione</t>
  </si>
  <si>
    <t>Sostegno preparatario PDA</t>
  </si>
  <si>
    <t>Attuazione Leader</t>
  </si>
  <si>
    <t>Attività di cooperazione dei GAL</t>
  </si>
  <si>
    <t>Sostegno per i costi di gestione e aniamzione</t>
  </si>
  <si>
    <t xml:space="preserve"> 13.1</t>
  </si>
  <si>
    <t xml:space="preserve"> 13.2</t>
  </si>
  <si>
    <t>TR-131</t>
  </si>
  <si>
    <t>Sottomisure</t>
  </si>
  <si>
    <t xml:space="preserve"> 8.1</t>
  </si>
  <si>
    <t xml:space="preserve"> 10.1</t>
  </si>
  <si>
    <t xml:space="preserve"> 10.2</t>
  </si>
  <si>
    <t xml:space="preserve"> 11.2</t>
  </si>
  <si>
    <t>13.1.1 - Pagamento compensativo per le zone montane</t>
  </si>
  <si>
    <t>13.2.1 - Pagamento compensativo per altre zone soggette a vincoli naturali</t>
  </si>
  <si>
    <t xml:space="preserve"> 14.1</t>
  </si>
  <si>
    <t>14.1.1 - Pagamento per il miglioramento del benessere degli animali – settore ovino e caprino da latte</t>
  </si>
  <si>
    <t>14.1.2 - Pagamento per il benessere degli animali – settore suini</t>
  </si>
  <si>
    <t>14.1.3 - Pagamento per il benessere degli animali – settore bovino orientato alla produzione di carne</t>
  </si>
  <si>
    <t>14.1.4 - Pagamento per il benessere degli animali – settore bovino orientato alla produzione di latte</t>
  </si>
  <si>
    <t xml:space="preserve"> 15.1</t>
  </si>
  <si>
    <t>TOTALE</t>
  </si>
  <si>
    <r>
      <t xml:space="preserve"> Importo stanziato per bando</t>
    </r>
    <r>
      <rPr>
        <b/>
        <vertAlign val="superscript"/>
        <sz val="8"/>
        <color rgb="FF000000"/>
        <rFont val="Arial"/>
        <family val="2"/>
      </rPr>
      <t>(1)</t>
    </r>
  </si>
  <si>
    <t xml:space="preserve"> 1.2</t>
  </si>
  <si>
    <t xml:space="preserve"> 2.1</t>
  </si>
  <si>
    <t xml:space="preserve"> 3.1</t>
  </si>
  <si>
    <t xml:space="preserve"> 3.2</t>
  </si>
  <si>
    <t xml:space="preserve"> 4.1</t>
  </si>
  <si>
    <t xml:space="preserve"> 4.2</t>
  </si>
  <si>
    <t xml:space="preserve"> 4.3</t>
  </si>
  <si>
    <t xml:space="preserve"> 5.1</t>
  </si>
  <si>
    <t xml:space="preserve"> 5.2</t>
  </si>
  <si>
    <t xml:space="preserve"> 6.1</t>
  </si>
  <si>
    <t xml:space="preserve"> 6.2</t>
  </si>
  <si>
    <t xml:space="preserve"> 6.4</t>
  </si>
  <si>
    <t xml:space="preserve"> 7.1</t>
  </si>
  <si>
    <t xml:space="preserve"> 7.2</t>
  </si>
  <si>
    <t xml:space="preserve"> 7.3</t>
  </si>
  <si>
    <t xml:space="preserve"> 7.4</t>
  </si>
  <si>
    <t xml:space="preserve"> 7.5</t>
  </si>
  <si>
    <t xml:space="preserve"> 7.6</t>
  </si>
  <si>
    <t xml:space="preserve"> 8.3</t>
  </si>
  <si>
    <t xml:space="preserve"> 8.6</t>
  </si>
  <si>
    <t xml:space="preserve"> 9.1</t>
  </si>
  <si>
    <t>16.4</t>
  </si>
  <si>
    <t>19.2.1 - Sostegno per l’esecuzione delle operazioni nell’ambito della SLTP</t>
  </si>
  <si>
    <t>19.2.1 - Azioni di sistema</t>
  </si>
  <si>
    <t>Servizi di supporto alla preparazione e gestione del PSR</t>
  </si>
  <si>
    <t>Sottomisura 1.2 - Sostegno ad attività dimostrative e azioni di informazione</t>
  </si>
  <si>
    <t>Descrizione
 Bando</t>
  </si>
  <si>
    <t xml:space="preserve"> Importo stanziato per bando</t>
  </si>
  <si>
    <t>Data chiusura bando</t>
  </si>
  <si>
    <t>Domande finanziabili</t>
  </si>
  <si>
    <t>Positive</t>
  </si>
  <si>
    <t>N.</t>
  </si>
  <si>
    <t>Euro</t>
  </si>
  <si>
    <t>Totale 1.2</t>
  </si>
  <si>
    <t>Sottomisura 2.1 - Sostegno allo scopo di aiutare gli aventi diritto ad avvalersi di servizi di consulenza</t>
  </si>
  <si>
    <t>Totale 2.1</t>
  </si>
  <si>
    <t>Sottomisura 3.1 - Sostegno alla nuova adesione a regimi di qualità</t>
  </si>
  <si>
    <t>anno 2016</t>
  </si>
  <si>
    <t>anno 2017</t>
  </si>
  <si>
    <t>anno 2018</t>
  </si>
  <si>
    <t>anno 2019</t>
  </si>
  <si>
    <t>Totale 3.1</t>
  </si>
  <si>
    <t>Sottomisura 3.2 - Sostegno per attività di informazione e promozione, svolte da associazioni di produttori nel mercato interno</t>
  </si>
  <si>
    <t>Totale 3.2</t>
  </si>
  <si>
    <t>Sottomisura 4.1 - Sostegno a investimenti nelle aziende agricole</t>
  </si>
  <si>
    <t>Investimenti</t>
  </si>
  <si>
    <t>Totale 4.1</t>
  </si>
  <si>
    <t>Sottomisura: 4.2 - Sostegno a investimenti a favore della trasformazione/ commercializzazione e/o dello sviluppo dei prodotti agricoli</t>
  </si>
  <si>
    <t>Totale 4.2</t>
  </si>
  <si>
    <t>Sottomisura 4.3 - Sostegno a investimenti nell'infrastruttura necessaria allo sviluppo, all'ammodernamento e all'adeguamento dell'agricoltura e della silvicoltura</t>
  </si>
  <si>
    <t xml:space="preserve">4.3.1 - Viabilità rurale </t>
  </si>
  <si>
    <t>4.3.2 -Risparmio idrico</t>
  </si>
  <si>
    <t>Totale 4.3</t>
  </si>
  <si>
    <t>Sottomisura 5.1 - Sostegno a investimenti in azioni di prevenzione volte a ridurre le conseguenze di probabili calamità naturali, avversità atmosferiche ed eventi catastrofici</t>
  </si>
  <si>
    <t>Sostegno ad investimenti in azioni di prevenzione</t>
  </si>
  <si>
    <t>Totale 5.1</t>
  </si>
  <si>
    <t>Sottomisura 5.2 - Sostegno a investimenti per il ripristino dei terreni agricoli e del potenziale produttivo danneggiati da calamità naturali, avversità atmosferiche ed eventi catastrofici</t>
  </si>
  <si>
    <t>Totale 5.2</t>
  </si>
  <si>
    <t>Sottomisura 6.1 - Aiuti all'avviamento di imprese per i giovani agricoltori</t>
  </si>
  <si>
    <t>Insed.giovani</t>
  </si>
  <si>
    <t>Totale 6.1</t>
  </si>
  <si>
    <t>Sottomisura 6.2 - Aiuti all'avviamento di attività imprenditoriali per attività extra-agricole nelle zone rurali</t>
  </si>
  <si>
    <t>Avviam. attività extra agri</t>
  </si>
  <si>
    <t>Totale 6.2</t>
  </si>
  <si>
    <t>6.4.2 -Imprese extra agricole</t>
  </si>
  <si>
    <t>Totale 6.4</t>
  </si>
  <si>
    <t>Sottomisura 7.2 - Sostegno a investimenti finalizzati alla creazione, al miglioramento o all'espansione di ogni tipo di infrastrutture su piccola scala, compresi gli investimenti nelle energie rinnovabili e nel risparmio energetico</t>
  </si>
  <si>
    <t>Totale 7.2</t>
  </si>
  <si>
    <t>Sottomisura 7.3 - Sostegno per l'installazione, il miglioramento e l'espansione di infrastrutture a banda larga e di infrastrutture passive per la banda larga, nonché la fornitura di accesso alla banda larga e ai servizi di pubblica amministrazione online</t>
  </si>
  <si>
    <t>Banda larga</t>
  </si>
  <si>
    <t>Totale 7.3</t>
  </si>
  <si>
    <t>Sottomisura 7.5 - Sostegno a investimenti di fruizione pubblica in infrastrutture ricreative, informazioni turistiche e infrastrutture turistiche su piccola scala</t>
  </si>
  <si>
    <t>Infrastrutture ricreative</t>
  </si>
  <si>
    <t>Totale 7.5</t>
  </si>
  <si>
    <t>Sottomisura 7.6 - Sostegno per studi/investimenti relativi alla manutenzione, al restauro e alla riqualificazione del patrimonio culturale e naturale dei villaggi, del paesaggio rurale e dei siti ad alto valore naturalistico, compresi gli aspetti socioeconomici di tali attività, nonché azioni di sensibilizzazione in materia di ambiente</t>
  </si>
  <si>
    <t>Patrimonio culturale e naturalistico</t>
  </si>
  <si>
    <t>Totale 7.6</t>
  </si>
  <si>
    <t>Sottomisura 8.3 - Sostegno alla prevenzione dei danni arrecati alle foreste da incendi, calamità naturali ed eventi catastrofici</t>
  </si>
  <si>
    <t xml:space="preserve">Investimenti in prevenzione </t>
  </si>
  <si>
    <t>Totale 8.3</t>
  </si>
  <si>
    <t>Sottomisura 8.6 - Sostegno agli investimenti in tecnologie silvicole e nella trasformazione, mobilitazione e commercializzazione dei prodotti delle foreste</t>
  </si>
  <si>
    <t>Totale 8.6</t>
  </si>
  <si>
    <t>Sottomisura 9.1 - Costituzione di associazioni e organizzazioni di produttori nei settori agricolo e forestale</t>
  </si>
  <si>
    <t>Totale 9.1</t>
  </si>
  <si>
    <t>Sottomisura 16.1 - Sostegno per la costituzione e la gestione dei gruppi operativi del PEI in materia di produttività e sostenibilità dell'agricoltura</t>
  </si>
  <si>
    <t>Totale 16.1</t>
  </si>
  <si>
    <t>Sottomisura 16.2 - Sostegno a progetti pilota e allo sviluppo di nuovi prodotti, pratiche, processi e tecnologie</t>
  </si>
  <si>
    <t>Sostegno  a progetti pilota</t>
  </si>
  <si>
    <t>Totale 16.2</t>
  </si>
  <si>
    <t>Sottomisura 16.4 - Sostegno alla cooperazione di filiera, sia orizzontale che verticale, per la creazione e lo sviluppo di filiere corte e mercati locali e sostegno ad attività promozionali a raggio locale connesse allo sviluppo delle filiere corte e dei mercati locali</t>
  </si>
  <si>
    <t>Totale 16.4</t>
  </si>
  <si>
    <t>Sottomisura 16.5 - Sostegno per azioni congiunte per la mitigazione del cambiamento climatico e l'adattamento ad esso e sostegno per approcci comuni ai progetti e alle pratiche ambientali in corso</t>
  </si>
  <si>
    <t>Azioni congiunte per il cambiamento climatico</t>
  </si>
  <si>
    <t>Totale 16.5</t>
  </si>
  <si>
    <t>Sottomisura 16.8 - Sostegno alla stesura di piani di gestione forestale o di strumenti equivalenti</t>
  </si>
  <si>
    <t>Totale 16.8</t>
  </si>
  <si>
    <t>Sottomisura 16.9 - Sostegno per la diversificazione delle attività agricole in attività riguardanti l'assistenza sanitaria, l'integrazione sociale, l'agricoltura sostenuta dalla comunità e l'educazione ambientale e alimentare</t>
  </si>
  <si>
    <t>Totale 16.9</t>
  </si>
  <si>
    <t>Sostegno preparatorio</t>
  </si>
  <si>
    <t>Totale 19.1</t>
  </si>
  <si>
    <t xml:space="preserve">Azioni di sistema </t>
  </si>
  <si>
    <t>Totale 19.2</t>
  </si>
  <si>
    <t>Totale 19.3</t>
  </si>
  <si>
    <t xml:space="preserve">Sostegno per i costi di gestione e animazione </t>
  </si>
  <si>
    <t>Totale 19.4</t>
  </si>
  <si>
    <t>GAL MARGHINE</t>
  </si>
  <si>
    <t>4.1</t>
  </si>
  <si>
    <t>GAL BARBAGIA</t>
  </si>
  <si>
    <t>7.6</t>
  </si>
  <si>
    <t>Adeguare gli spazi per le attività culturali</t>
  </si>
  <si>
    <t>Costruire la rete degli operatori per gestire i servizi culturali con l'utilizzo di nuove tecnologie</t>
  </si>
  <si>
    <t>GAL OGLIASTRA</t>
  </si>
  <si>
    <t>6.2</t>
  </si>
  <si>
    <t>Aiuti alle start Up per attività turistiche</t>
  </si>
  <si>
    <t>Aiuti alla produzione di pasta fresca tradizionale e/o tipica</t>
  </si>
  <si>
    <t>7.5</t>
  </si>
  <si>
    <t>presentazione progetti (II fase)</t>
  </si>
  <si>
    <t>di cui con concessione</t>
  </si>
  <si>
    <t>Sottomisura</t>
  </si>
  <si>
    <t>FEASR</t>
  </si>
  <si>
    <t>Importo da Impegnare</t>
  </si>
  <si>
    <t>Sostegno alla prevenzione dei danni arrecati alle foreste da incendi, calamità naturali ed eventi catastrofici</t>
  </si>
  <si>
    <t>TRASC.</t>
  </si>
  <si>
    <t>PROGR 2014-2020</t>
  </si>
  <si>
    <t>% impegni su Risorse stanziate con bando</t>
  </si>
  <si>
    <r>
      <t>Sottomisura 19.2 - Sostegno all'esecuzione degli interventi nell'ambito della strategia di sviluppo locale di tipo partecipativo</t>
    </r>
    <r>
      <rPr>
        <b/>
        <vertAlign val="superscript"/>
        <sz val="11"/>
        <color theme="1"/>
        <rFont val="Calibri"/>
        <family val="2"/>
        <scheme val="minor"/>
      </rPr>
      <t xml:space="preserve"> (1)</t>
    </r>
  </si>
  <si>
    <r>
      <t xml:space="preserve">Sottomisura 19.3 - Preparazione e realizzazione delle attività di cooperazione del gruppo di azione locale </t>
    </r>
    <r>
      <rPr>
        <b/>
        <vertAlign val="superscript"/>
        <sz val="11"/>
        <color theme="1"/>
        <rFont val="Calibri"/>
        <family val="2"/>
        <scheme val="minor"/>
      </rPr>
      <t>(1)</t>
    </r>
  </si>
  <si>
    <r>
      <t xml:space="preserve">Sottomisura 19.4 - Sostegno per i costi di gestione e animazione </t>
    </r>
    <r>
      <rPr>
        <b/>
        <vertAlign val="superscript"/>
        <sz val="11"/>
        <color theme="1"/>
        <rFont val="Calibri"/>
        <family val="2"/>
        <scheme val="minor"/>
      </rPr>
      <t>(1)</t>
    </r>
  </si>
  <si>
    <t>Servizi di consulenza</t>
  </si>
  <si>
    <t>Viabilità rurale e forestale</t>
  </si>
  <si>
    <t>Piani di gestione delle aree Natura 2000</t>
  </si>
  <si>
    <t>Totale 7.1</t>
  </si>
  <si>
    <t>Rafforzamento e diversificazione delle imprese extra agricole</t>
  </si>
  <si>
    <t>Creazione di porte di accesso al territorioe nuovi attrattori</t>
  </si>
  <si>
    <t>Incentivazione di attività legate allo sviluppo del turismo rurale</t>
  </si>
  <si>
    <t>Sostegno alla produzione artigianale e/o tipica dei prodotti oliastrini</t>
  </si>
  <si>
    <t>Miglioramento e potenziamento dell'offerta ricettiva extra-alberghiera</t>
  </si>
  <si>
    <t>Selezione dei PdA</t>
  </si>
  <si>
    <t>Sviluppo dell’aggregazione e programmazione
dell’offerta delle fattorie sociali</t>
  </si>
  <si>
    <t>Valorizzazione delle microimprese operanti nell’ambito delle produzioni integrate manifatturiere</t>
  </si>
  <si>
    <t>Potenziamento della fruizione dei beni culturali attraverso interventi legati alla ricettività e ai servizi correlati</t>
  </si>
  <si>
    <t>Laboratori di trasformazione e punti vendita di prodotti non compresi nell’All. 1 del Trattato</t>
  </si>
  <si>
    <t>“Sviluppo nuove attività imprenditoriali nelle produzioni extra-agricole ”</t>
  </si>
  <si>
    <t>7.4</t>
  </si>
  <si>
    <t>Potenziamento dei luoghi della cultura di proprietà degli Enti Locali</t>
  </si>
  <si>
    <t>4.2</t>
  </si>
  <si>
    <t>---</t>
  </si>
  <si>
    <t xml:space="preserve">Domande di sostegno rinunciate
</t>
  </si>
  <si>
    <t>GAL SINIS</t>
  </si>
  <si>
    <t>GAL TERRAS DE OLIA</t>
  </si>
  <si>
    <t>BANDI A REGIA GAL</t>
  </si>
  <si>
    <t>3.2</t>
  </si>
  <si>
    <t xml:space="preserve"> Identificativo bando</t>
  </si>
  <si>
    <t>Bando domande di sostegno 2016</t>
  </si>
  <si>
    <t>Impegni giuridicamente vincolanti (2)</t>
  </si>
  <si>
    <t>Sviluppo e potenziamento di laboratori di trasformazione e di commercializzazione di prodotti di cui all’Allegato I del Trattato</t>
  </si>
  <si>
    <t>Sostegno alla produzione artigianale e/o tipica dei prodotti ogliastrini ad esclusione di quelli coinvolti nella filiera produttiva della pasta fresca tradizionale</t>
  </si>
  <si>
    <t>Investimenti nelle aziende agricole per lo sviluppo di agriturismi e agricampeggi</t>
  </si>
  <si>
    <t>Creazione di una filiera locale per la produzione dei “Culurgionis” d’Ogliastra</t>
  </si>
  <si>
    <t>Miglioramento e potenziamento della ricettività extra-alberghiera</t>
  </si>
  <si>
    <t>Sostegno a investimenti nella trasformazione o nella trasformazione e commercializzazione dei prodotti agricoli</t>
  </si>
  <si>
    <t>Realizzazione di spazi attrezzati per il turismo equestre, per attività didattiche e/o sociali in fattoria</t>
  </si>
  <si>
    <t>Realizzazione di attività legate alle piccole ricettività low cost, anche in funzione di una rivitalizzazione dei centri storici (albergo diffuso)</t>
  </si>
  <si>
    <t>Riqualificazione e adeguamento di immobili, acquisto arredi e attrezzature per lo svolgimento di altre attività ricettive di piccole dimensioni</t>
  </si>
  <si>
    <t>Avvio di nuove attività imprenditoriali nel settore del turismo sostenibile</t>
  </si>
  <si>
    <t>Aiuti all’avviamento di attività imprenditoriali extra agricole nelle zone rurali</t>
  </si>
  <si>
    <t>anno 2020</t>
  </si>
  <si>
    <t>GAL</t>
  </si>
  <si>
    <t>Codice bando</t>
  </si>
  <si>
    <t>GAL NUORESE BARONIA</t>
  </si>
  <si>
    <t>GAL MARMILLA</t>
  </si>
  <si>
    <t>attivazione di investimenti per lo sviluppo di imprese extra agricole esistenti</t>
  </si>
  <si>
    <t>Cercare i parametri di qualita dei prodotti zootecnici - bando 2018</t>
  </si>
  <si>
    <t>Multifunzionalità delle imprese agricole come chiave per una nuova competitività</t>
  </si>
  <si>
    <t>Apertura maggio 2020 - Bando domande di sostegno</t>
  </si>
  <si>
    <t>a</t>
  </si>
  <si>
    <t>b</t>
  </si>
  <si>
    <t>c</t>
  </si>
  <si>
    <t>d</t>
  </si>
  <si>
    <t>e</t>
  </si>
  <si>
    <t>h</t>
  </si>
  <si>
    <t>Conservazione ex situ delle risorse genetiche vegetali e animali a rischio di erosione genetica</t>
  </si>
  <si>
    <t>Totale 10.2</t>
  </si>
  <si>
    <t>Sostegno temporaneo per l’agriturismo, le fattorie didattiche e le fattorie sociali</t>
  </si>
  <si>
    <t>Totale 21.1</t>
  </si>
  <si>
    <t>21.1</t>
  </si>
  <si>
    <t>GAL CAMPIDANO</t>
  </si>
  <si>
    <t>Investimenti a favore della cooperazione a sostegno della diversificazione delle attività agricole</t>
  </si>
  <si>
    <t>Costruiamo insieme la rete dei prodotti identitari</t>
  </si>
  <si>
    <t>Investimenti materiali e immateriali a favore delle micro e piccole imprese per la diversificazione e lo sviluppo delle attività extra-agricole</t>
  </si>
  <si>
    <t>Creazione di nuove imprese</t>
  </si>
  <si>
    <t>Potenziamento di imprese esistenti in chiave innovativa nel comparto del turismo</t>
  </si>
  <si>
    <t>Piccoli interventi di adeguamento di imprese artigiane, commerciali, somministrazione cibi e bevande e ristorazione</t>
  </si>
  <si>
    <t>GAL ANGLONA ROMANGIA</t>
  </si>
  <si>
    <t>Sostegno agli investimenti per la ricettività extra alberghiera nelle zone rurali</t>
  </si>
  <si>
    <t>Aiuto all’avviamento di micro e piccole imprese extra agricole nelle zone rurali</t>
  </si>
  <si>
    <t>Valorizzazione delle produzioni locali – aiuti alle microimprese</t>
  </si>
  <si>
    <t>Potenziamento offerta turistica – grandi attrattori privati</t>
  </si>
  <si>
    <t>Potenziamento offerta turistica  - Multifunzionalita' az.agricole</t>
  </si>
  <si>
    <t>Potenziamento offerta turistica - riqualificazione estetica e funzionale delle imprese turistiche - micro imprese</t>
  </si>
  <si>
    <t>Investimenti a sostegno della produzione e del consumo delle energie rinnovabili a favore delle micro e piccole imprese per la diversificazione e lo sviluppo delle attività extra-agricole</t>
  </si>
  <si>
    <t>Sviluppo di nuove attività imprenditoriali nel settore della bioedilizia</t>
  </si>
  <si>
    <t>Investimenti materiali e immateriali per la diversificazione e lo sviluppo delle attività extragricole delle aziende agricole</t>
  </si>
  <si>
    <t>Costruire la rete degli artigiani del territorio</t>
  </si>
  <si>
    <t>Integrazione e potenziamento della rete degli itinerari turistici tematici</t>
  </si>
  <si>
    <t>Potenziamento dell’ospitalità agrituristica e riqualificazione dell’esistente, compreso l’agricampeggio</t>
  </si>
  <si>
    <t>Sviluppo/adeguamento e/o potenziamento delle imprese esistenti nel settore dell’artigianato tipico locale, nel settore del commercio dei prodotti tipici artigianali, dei prodotti biologici e/o di qualità certificata</t>
  </si>
  <si>
    <t>Domande di sostegno presentate*</t>
  </si>
  <si>
    <t xml:space="preserve">PIF - presentazione singoli progetti </t>
  </si>
  <si>
    <t>notifica det. Approv. Manif. di intresse</t>
  </si>
  <si>
    <t xml:space="preserve">Conferma impegni per i bandi annualità: 2012 e 2014. Fine impegno con domande annualità 2017 e 2019. </t>
  </si>
  <si>
    <t xml:space="preserve">Conferma impegni per i bandi annualità: 2012 e 2014. Fine impegno con domande annualità 2016 e 2018. </t>
  </si>
  <si>
    <t>Fine impegno con domanda annualità 2021</t>
  </si>
  <si>
    <t>Fine impegno con domanda annualità 2020</t>
  </si>
  <si>
    <t>Conferma impegni per i bandi annualità: 2012, 2013 e 2014. Fine impegno con domande annualità 2016, 2017 e 2018</t>
  </si>
  <si>
    <t>Annualità precedenti al 2015</t>
  </si>
  <si>
    <t>Chiusura luglio 2020 - Fine impegno con domanda annualità 2024</t>
  </si>
  <si>
    <t>Sotto misura</t>
  </si>
  <si>
    <t xml:space="preserve">Sottomisura 19.1 - Sostegno preparatorio </t>
  </si>
  <si>
    <t>Progetti integrati di Filiera: Sottomisure 3.2 - 4.1 e 4.2</t>
  </si>
  <si>
    <t>GAL BARIGADU GUILCER</t>
  </si>
  <si>
    <t>GAL GALLURA</t>
  </si>
  <si>
    <t xml:space="preserve">GAL LINAS </t>
  </si>
  <si>
    <t>DISTRETTO RURALE BMG</t>
  </si>
  <si>
    <t>GAL SULCIS</t>
  </si>
  <si>
    <t>GAL SARCIDANO</t>
  </si>
  <si>
    <t>GAL SGT</t>
  </si>
  <si>
    <t>Strutture ricettive extra-agricole</t>
  </si>
  <si>
    <t>Strutture Ricettive in Aziende Agricole su fabbricate esistenti</t>
  </si>
  <si>
    <t>Innalzamento degli standard qualitativi delle strutture ricettive alberghiere esistenti</t>
  </si>
  <si>
    <t>Innalzamento degli standard qualitativi delle aziende che erogano servizi al turista</t>
  </si>
  <si>
    <t>Creazione di nuovi servizi turistici</t>
  </si>
  <si>
    <t>Nuove attività imprenditoriali di artigianato innovativo</t>
  </si>
  <si>
    <t> Investimenti materiali e immateriali nelle aziende agricole</t>
  </si>
  <si>
    <t>Investimenti materiali e immateriali per la trasformazione, la commercializzazione e/o lo sviluppo dei prodotti agricoli </t>
  </si>
  <si>
    <t>16.3</t>
  </si>
  <si>
    <t>Creazione di reti di imprese fra gli operatori turistici. Sviluppo della rete turistica territoriale.</t>
  </si>
  <si>
    <t>Nuovi modelli e nuovi processi produttivi</t>
  </si>
  <si>
    <t>Includere e inserire al lavoro soggetti in condizioni di svantaggio</t>
  </si>
  <si>
    <t>Educare le nuove generazioni a un`alimentazione locale e sostenibile - bando 2019</t>
  </si>
  <si>
    <t>Investire sulle aziende pastorali che utilizzano il pascolo naturale - bando 2019</t>
  </si>
  <si>
    <t>Investire sulle imprese di trasformazione e commercializzazione</t>
  </si>
  <si>
    <t>Sostegno agli investimenti nelle aziende agricole per la diversificazione e lo sviluppo di attività extra agricole</t>
  </si>
  <si>
    <t>Sostegno agli investimenti per lo sviluppo di micro e piccole imprese extra agricole</t>
  </si>
  <si>
    <t>Sviluppo e potenziamento di laboratori di trasformazione e di commercializzazione di prodotti di cui all'ALLEGATO I del Trattato</t>
  </si>
  <si>
    <t>Imprese dimostrative: investire sulle imprese di trasformazione e commercializzazione</t>
  </si>
  <si>
    <t>Imprese dimostrative: investire sulle imprese di trasformazione e commercializzazione del GAL</t>
  </si>
  <si>
    <t>Potenziamento territoriale dei servizi connessi al patrimonio storico, archeologico museale</t>
  </si>
  <si>
    <t>Filiera Vitivinicola - Sviluppo delle reti territoriali</t>
  </si>
  <si>
    <t>Filiere delle Ortive, della frutta, della frutta secca e delle piante officinali - Sviluppo delle reti territoriali</t>
  </si>
  <si>
    <t>Filiera del fiore sardo e dei prodotti lattiero caseari ovi-caprini  - Sviluppo delle reti territoriali</t>
  </si>
  <si>
    <t>Eventi calamitosi verificatisi da maggio a novembre 2018</t>
  </si>
  <si>
    <t>Data pubblicazione /apertura bando</t>
  </si>
  <si>
    <t xml:space="preserve">21.1.1 -Sostegno temporaneo eccezionale a favore di agricoltori e PMI particolarmente colpiti dalla crisi di COVID-19 </t>
  </si>
  <si>
    <t xml:space="preserve">Sostegno temporaneo eccezionale a favore di agricoltori e PMI particolarmente colpiti dalla crisi di COVID-19 </t>
  </si>
  <si>
    <t xml:space="preserve">21.1.1 - Sostegno temporaneo eccezionale a favore di agricoltori e PMI particolarmente colpiti dalla crisi di COVID-19 </t>
  </si>
  <si>
    <t xml:space="preserve">Sottomisura 21.1 -Sostegno temporaneo eccezionale a favore di agricoltori e PMI particolarmente colpiti dalla crisi di COVID-19 </t>
  </si>
  <si>
    <t>Investimenti per l’implementazione di progetti pilota e lo sviluppo di nuovi prodotti, pratiche, processi e tecnologie</t>
  </si>
  <si>
    <t>Start up servizi turistici</t>
  </si>
  <si>
    <t>Potenziamento offerta turistica, grandi attrattori pubblici</t>
  </si>
  <si>
    <t xml:space="preserve">* il dato delle DS presentate è compreso di rinunce e bocciate, mentre per quanto riguarda le DP presentate il dato è al netto delle DP rinunciate e bocciate. </t>
  </si>
  <si>
    <t>(*) Il dato delle finanziabili del bando 39502 si riferisce alla graduatoria approvata con determina n.319 del 21.01.2021</t>
  </si>
  <si>
    <t>anno 2021</t>
  </si>
  <si>
    <t>Misura</t>
  </si>
  <si>
    <t xml:space="preserve"> Importo stanziato per bando/misura</t>
  </si>
  <si>
    <t>Mnifestazioni d'interesse presentate</t>
  </si>
  <si>
    <t>totale</t>
  </si>
  <si>
    <t>(1) Dato estrapolato dalla Graduatoria unica regionale approvata con Determinazione n. 3164 del 14/05/2021</t>
  </si>
  <si>
    <t>11.1
11.2</t>
  </si>
  <si>
    <t>Bando per domanda di sostegno 2021</t>
  </si>
  <si>
    <t>Fine impegno con domanda annualità 2023</t>
  </si>
  <si>
    <t>11.1.1 - Pagamento al fine di adottare pratiche e metodi di produzione biologica
11.2.1 - Pagamento al fine di mantenere pratiche e metodi di produzione biologica</t>
  </si>
  <si>
    <t>Bando per domanda di sostegno annualità 2016</t>
  </si>
  <si>
    <t>Fine impegno con domande annualità 2020</t>
  </si>
  <si>
    <t>Bando per domanda di sostegno annualità 2017</t>
  </si>
  <si>
    <t>Fine impegno con domande annualità 2021</t>
  </si>
  <si>
    <t>Bando per domanda di sostegno annualità 2018</t>
  </si>
  <si>
    <t>Fine impegno con domande annualità 2022</t>
  </si>
  <si>
    <t>Bando per domanda di sostegno annualità 2019</t>
  </si>
  <si>
    <t>Bando per domanda di sostegno annualità 2020</t>
  </si>
  <si>
    <t>Bando per domanda di sostegno annualità 2021 (triennale)</t>
  </si>
  <si>
    <t xml:space="preserve"> Bando domande di sostegno 2020</t>
  </si>
  <si>
    <t>Bando domande di sostegno 2021</t>
  </si>
  <si>
    <t>Chiusura luglio 2021 - Fine impegno con domanda annualità 2025</t>
  </si>
  <si>
    <t>(1) Dato non ancora aggiornato nel Sistema SIAN. Il diniego del finanziamento di una delle 2 finanziabili è avvenuto con determinazione di ARGEA n. 2817 del 29/05/2019</t>
  </si>
  <si>
    <t>Infrastrutturazione turistica su piccola scala - Enti Pubblici</t>
  </si>
  <si>
    <t xml:space="preserve">19.3 </t>
  </si>
  <si>
    <t xml:space="preserve">19.4 </t>
  </si>
  <si>
    <t>Manifestazioni d'interesse finanziabili (*)</t>
  </si>
  <si>
    <t>%</t>
  </si>
  <si>
    <t>DELTA</t>
  </si>
  <si>
    <t>Valorizzare e sostenere le produzioni agroalimentari locali come elemento chiave del turismo sostenibile e della promozione del territorio</t>
  </si>
  <si>
    <t xml:space="preserve">Investimenti a sostegno della produzione e del consumo dell’energia rinnovabile </t>
  </si>
  <si>
    <t>Creazione/potenziamento di n°1 organismo di Gestione Integrata dell’offerta turistica dell’area del GAL</t>
  </si>
  <si>
    <t>Costruire la rete dei produttori, il paniere dei prodotti del territorio e promuoverne il consumo</t>
  </si>
  <si>
    <t>“Investire nelle tecnologie innovative per le start up artigiane”</t>
  </si>
  <si>
    <t>Investire nelle tecnologie innovative per le imprese artigiane</t>
  </si>
  <si>
    <t>Investire nelle tecnologie innovative per le start up artigiane 2020</t>
  </si>
  <si>
    <t>Investire per adeguare le aziende di trasformazione dei prodotti agroalimentari</t>
  </si>
  <si>
    <t>Potenziamento dei luoghi della cultura di proprietà degli enti locali</t>
  </si>
  <si>
    <t>Infrastrutture turistiche su piccola scala</t>
  </si>
  <si>
    <t>Turismo attivo: sviluppo di imprese extra-agricole</t>
  </si>
  <si>
    <t>Interventi di miglioramento funzionale e adeguamento ai principi eco-sostenibili e di accessibilità’ delle strutture ricettive-ospitalità extra-agricola</t>
  </si>
  <si>
    <t>Investimenti per la creazione e sviluppo dell’ospitalità agrituristica ivi compreso l’agricampeggio</t>
  </si>
  <si>
    <t>Riqualificazione delle strutture e del contesto paesaggistico nelle aziende agricole che offrono servizi agrituristici e/o didattici e/o sociali</t>
  </si>
  <si>
    <t>Attivazione di investimenti per l’avvio di nuove imprese extra agricole</t>
  </si>
  <si>
    <t>Incentivazione dell’agricoltura multifunzionale</t>
  </si>
  <si>
    <t>Attivazione di investimenti per lo sviluppo di aziende agricole esistenti</t>
  </si>
  <si>
    <t>Sostegno allo sviluppo di azioni di cooperazione per la diversificazione delle attività agricole in attività relative l'inclusione sociale e sviluppo di progetti di agricoltura sociale (agrisociale)</t>
  </si>
  <si>
    <t>Sviluppo dei progetti di agricoltura alimentare e ambientale (agrididattica)</t>
  </si>
  <si>
    <t>Competenza e impresa per lo sviluppo rurale sostenibile - sostegno a investimenti per lo sviluppo di imprese extra agricole</t>
  </si>
  <si>
    <t>Sviluppo e potenziamento delle fattorie didattiche</t>
  </si>
  <si>
    <t>Sviluppo dell’aggregazione e programmazione dell’offerta delle fattorie didattiche</t>
  </si>
  <si>
    <t>Sviluppo nuove attività imprenditoriali per la gestione e la valorizzazione dei beni culturali</t>
  </si>
  <si>
    <t>Riqualificazione dell'offerta ricettiva extra-alberghiera e nuove strutture ricettive extra alberghiere</t>
  </si>
  <si>
    <t>Interventi innovativi di cooperazione nel campo dell'agricoltura sociale</t>
  </si>
  <si>
    <t>Promozione di interventi di educazione alimentare e ambientale</t>
  </si>
  <si>
    <t>Contributi per l`innovazione e il potenziamento delle imprese identitarie extra-agricole</t>
  </si>
  <si>
    <t>Contributi per il finanziamento della multifunzionalita` delle aziedne agricole</t>
  </si>
  <si>
    <t>Contributi per il finanziamento di servizi strategici alla fruizione turistica</t>
  </si>
  <si>
    <t>Contributi a favore delle aziende agricole per l’incentivazione del turismo esperienziale</t>
  </si>
  <si>
    <t>Comunità in rete</t>
  </si>
  <si>
    <t>Contributi per l’innovazione e potenziamento delle imprese identitarie extra-agricole</t>
  </si>
  <si>
    <t>Rafforzamento e diversificazione delle imprese extra-agricole come chiave per una nuova competitività`</t>
  </si>
  <si>
    <t>Investimenti materiali e immateriali nelle aziende agricole</t>
  </si>
  <si>
    <t>Potenziamento dell’ospitalità agrituristica e
riqualificazione dell’esistente, compreso l’agricampeggio</t>
  </si>
  <si>
    <t>Sviluppo/adeguamento e/o potenziamento delle imprese esistenti nel settore dell’artigianato tipico locale (basato su processi di lavorazione tradizionali del settore rurale), nel settore del commercio dei prodotti tipici artigianali, dei prodotti biologici e/o di qualità certificata</t>
  </si>
  <si>
    <t>Laboratori di trasformazione e punti vendita di prodotti non compresi nell’all. 1 del trattato</t>
  </si>
  <si>
    <t>Sviluppo nuove attività imprenditoriali nelle produzioni extra-agricole</t>
  </si>
  <si>
    <t>Sviluppo e potenziamento di laboratori di trasformazione e di commercializzazione di prodotti di cui all’allegato i del trattato</t>
  </si>
  <si>
    <t>Integrazione e potenziamento della rete degli itinerari turistici tematici del gal nuorese baronie</t>
  </si>
  <si>
    <t>Creazione di porte di accesso al territorio e nuovi attrattori</t>
  </si>
  <si>
    <t>Aiuti alle start up per attività turistiche</t>
  </si>
  <si>
    <t>Miglioramento e potenziamento dell`offerta ricettiva extra-alberghiera</t>
  </si>
  <si>
    <t>Creazione di una filiera locale per la produzione dei “culurgionis” d’ogliastra</t>
  </si>
  <si>
    <t>Sostegno alla produzione artigianale e/o tipica dei prodotti ogliastrini</t>
  </si>
  <si>
    <t>Supporto al rafforzamento del sistema dell’ospitalità nel GAL SGT</t>
  </si>
  <si>
    <t>Sostegno a investimenti di fruizione pubblica in infrastrutture turistiche su piccola scala</t>
  </si>
  <si>
    <t>Creazione di itinerari di esperienza a tema</t>
  </si>
  <si>
    <t>Investire nelle tecnologie innovative per le imprese artigiane 2020</t>
  </si>
  <si>
    <t>GAL LOGUDORO GOCEANO</t>
  </si>
  <si>
    <t>Sostegno a investimenti in immobilizzazioni nelle aziende agricole</t>
  </si>
  <si>
    <r>
      <t>20</t>
    </r>
    <r>
      <rPr>
        <b/>
        <vertAlign val="superscript"/>
        <sz val="8"/>
        <color indexed="8"/>
        <rFont val="Arial"/>
        <family val="2"/>
      </rPr>
      <t>(6)</t>
    </r>
  </si>
  <si>
    <r>
      <t>di cui trascinamenti</t>
    </r>
    <r>
      <rPr>
        <b/>
        <vertAlign val="superscript"/>
        <sz val="6"/>
        <color rgb="FF000000"/>
        <rFont val="Arial"/>
        <family val="2"/>
      </rPr>
      <t xml:space="preserve"> (5)</t>
    </r>
  </si>
  <si>
    <t>(5) I recuperi al Q3 del 2021 delle SM 4.1 2a e 6.4.1 2b sono stati attribuiti ai trascinamenti in quanto non si hanno indicazioni certe sull'esatta corrispondenza dei pagamenti recuperati.</t>
  </si>
  <si>
    <t>“Realizzazione di interventi di manutenzione straordinaria, restauro e risanamento conservativo di strutture, immobili e fabbricati, anche isolati, e relativo allestimento, interventi di manutenzione straordinaria, restauro e risanamento conservativo degli elementi tipici e caratteristici del paesaggio agrario e degli spazi comuni, anche a valenza storica e religiosa, tipici dell’ambiente rurale della Gallura e del Monte Acuto”.</t>
  </si>
  <si>
    <t>“Potenziamento/diversificazione dell’offerta attraverso il miglioramento dei servizi legati all’accoglienza favorendo al contempo la nascita di imprese turistiche femminili e giovanili”;</t>
  </si>
  <si>
    <t>“Realizzazione e valorizzazione di itinerari naturalistici, archeologici, enogastrnomici, equestri, culturali, anche attraverso piccoli interventri di adeguamento della sentieristica e cartellonistica e con particolare attenzione ai percorsi disabled-friendly”;</t>
  </si>
  <si>
    <t>“Realizzazione di centri di informazione e accoglienza turistica e relative reti, attraverso l’adeguamento di strutture esistenti, finalizzate a garantire l’accoglienza al visitatore/turista e fornire informazione specifica sull’area e sui prodotti interessati dal percorso dell’itinerario e l’allestimento dei locali”.</t>
  </si>
  <si>
    <t>“Supporto al rafforzamento del sistema dell’Ospitalità nel GAL SGT”</t>
  </si>
  <si>
    <t>“Valorizzazione e sostegno per le produzioni agroalimentari locali come elemento chiave del Turismo Sostenibile e della promozione del Territorio SGT”</t>
  </si>
  <si>
    <t>Sottomisura 7.4 - Servizi di base a livello locale per la popolazione rurale</t>
  </si>
  <si>
    <t>Totale 7.4</t>
  </si>
  <si>
    <t>TRASCINAMENTI 2007-2013</t>
  </si>
  <si>
    <t>16.10</t>
  </si>
  <si>
    <t>Riscoperta delle qualità dei prodotti agroalimentari locali: dalla consapevolezza delle comunità all’offerta commerciale</t>
  </si>
  <si>
    <t>Insediamento giovani (EURI)</t>
  </si>
  <si>
    <t>Insed.giovani
(EURI)</t>
  </si>
  <si>
    <t>Progetti pilota a sostegno della qualificazione e del rafforzamento della filiera della lana e dei suoi derivati</t>
  </si>
  <si>
    <t>Sostegno ai processi di creazione di impresa</t>
  </si>
  <si>
    <t>Educare le nuove generazioni a un`alimentazione locale e sostenibile</t>
  </si>
  <si>
    <t>Sostegno alle imprese agroalimentari locali</t>
  </si>
  <si>
    <t>Sostegno a investimenti per lo sviluppo di nuove imprese extra agricole - Nuove imprese ricettive extra-alberghiere</t>
  </si>
  <si>
    <t>Sviluppo e commercializzazione dei servizi turistici per il turismo rurale: “Reti e itinerari turistici tematizzati”</t>
  </si>
  <si>
    <t xml:space="preserve">Cooperazione di filiera - Investimenti per la creazione e lo sviluppo delle filiere corte e mercati locali e per sostenere le attività promozionali a raggio locale connesse
</t>
  </si>
  <si>
    <t>BANDO ANNULLATO</t>
  </si>
  <si>
    <t>Precision Farming (EURI)</t>
  </si>
  <si>
    <t>Risorse programmate 2014-2022 (1)</t>
  </si>
  <si>
    <t>Investimenti (Bando 2022)</t>
  </si>
  <si>
    <t>Trasformazione prodotti agricoli  (Bando 2022)</t>
  </si>
  <si>
    <t>Progetti individuali 
 (Bando 2022)</t>
  </si>
  <si>
    <t>Energie Rinnovabili (Bando 2022)</t>
  </si>
  <si>
    <t xml:space="preserve">% impegni </t>
  </si>
  <si>
    <t>Incentivi alle filiere delle produzioni agro-artigianali</t>
  </si>
  <si>
    <t xml:space="preserve">Piano Finanziario 
</t>
  </si>
  <si>
    <t>% 
Impegni</t>
  </si>
  <si>
    <t>%
Pagamenti</t>
  </si>
  <si>
    <t>d=c/a</t>
  </si>
  <si>
    <t>f=e/a</t>
  </si>
  <si>
    <t xml:space="preserve">% </t>
  </si>
  <si>
    <t>Risorse programmate (1)</t>
  </si>
  <si>
    <t>Pagamenti (3)</t>
  </si>
  <si>
    <t>Risorse regionali aggiuntive 
(Top up)</t>
  </si>
  <si>
    <t>di cui FEASR</t>
  </si>
  <si>
    <t>Spesa pubblica cofinanziata FEASR</t>
  </si>
  <si>
    <t>Impegni giuridicamente vincolanti totali (2)</t>
  </si>
  <si>
    <t>Risorse programmate 
totali  (1)</t>
  </si>
  <si>
    <t>f</t>
  </si>
  <si>
    <t>l</t>
  </si>
  <si>
    <t>e=d/a</t>
  </si>
  <si>
    <t>Piano Finanziario al netto dei trascinamenti</t>
  </si>
  <si>
    <t>Bando per domanda di sostegno annualità 2022 (triennale)</t>
  </si>
  <si>
    <t>Bando per le annualità: 2015, 2016, 2017,  2018,  2019, 2020, 2021 e 2022</t>
  </si>
  <si>
    <t>Cooperazione per lo sviluppo, promozione e commercializzazione dell'offerta turistica rurale</t>
  </si>
  <si>
    <t> Cooperazione di filiera-Sostegno allo sviluppo di azioni di filiera corta e sostegno ad attività promozionali a raggio locale connesse allo sviluppo delle filiere corte e dei mercati locali</t>
  </si>
  <si>
    <t>Attivazione di una rete del turismo sostenibile</t>
  </si>
  <si>
    <t>Attivazione di una rete del turismo sostenibile per l’adeguamento delle condizioni di mobilità sostenibile all’interno del territorio</t>
  </si>
  <si>
    <t>Sostegno allo sviluppo della di azioni di cooperazione per la diversificazione delle attività agricole in attività relative l’inclusione sociale e sviluppo di progetti di agricoltura sociale</t>
  </si>
  <si>
    <t>anno 2022</t>
  </si>
  <si>
    <t>PIF</t>
  </si>
  <si>
    <t>10.1.5 -Conservazione di razze locali minacciate di abbandono</t>
  </si>
  <si>
    <t>Bando per domanda di sostegno 2022
Maggio 2022</t>
  </si>
  <si>
    <t>Apertura Aprile 2022 - Bando domande di sostegno</t>
  </si>
  <si>
    <t>Costituzione dei Club di Prodotto</t>
  </si>
  <si>
    <t>Investire sulle aziende pastorali che utilizzano il pascolo naturale</t>
  </si>
  <si>
    <t>Cercare i parametri di qualita dei prodotti zootecnici</t>
  </si>
  <si>
    <t>Strutture Ricettive in Aziende Agricole su fabbricati esistenti</t>
  </si>
  <si>
    <t>Valorizzazione di sentieri, itinerari e cammini</t>
  </si>
  <si>
    <t>Attivazione di investimenti per lo sviluppo di imprese extra agricole esistenti</t>
  </si>
  <si>
    <t>(*) Le manifestazioni di interesse finanziabili sono aggiornate rispetto al 3° scorrimento del 05.08.2022</t>
  </si>
  <si>
    <t>6.4.1</t>
  </si>
  <si>
    <t>6.4.2</t>
  </si>
  <si>
    <t>“Supporto al rafforzamento del sistema dell’Ospitalità nel GAL SGT"</t>
  </si>
  <si>
    <t>Valorizzazione e sostegno per le produzioni agroalimentari locali come elemento chiave del Turismo Sostenibile e della promozione del Territorio SGT</t>
  </si>
  <si>
    <t>(1) Le risorse  finanziarie della misura 19 sono state incrementate con risorse regionali di cui al DECRETO N. 3583 DEC A/60 DEL 26 NOVEMBRE 2021.</t>
  </si>
  <si>
    <t>40262 
I e II STEP</t>
  </si>
  <si>
    <t>Sostegno alle imprese localizzate e integrate con la rete dei sentieri e delle comunità</t>
  </si>
  <si>
    <t>Creazione di itinerari di esperienza a tema 2023</t>
  </si>
  <si>
    <t>Sviluppo di nuove attività imprenditoriali per la gestione e la valorizzazione dei beni culturali</t>
  </si>
  <si>
    <t>Sviluppo di nuove attività imprenditoriali nelle produzioni extra – agricole</t>
  </si>
  <si>
    <t>Comunità in rete e solidali</t>
  </si>
  <si>
    <t>Creazione di nuovi servizi in ambito sociale</t>
  </si>
  <si>
    <t>Sostegno a investimenti a favore della trasformazione, della commercializzazione e/o dello sviluppo dei prodotti agricoli</t>
  </si>
  <si>
    <t>Nuove attività imprenditoriali di artigianato innovativo, bioeconomia e green economy</t>
  </si>
  <si>
    <t>Contributi per l’innovazione e potenziamento delle imprese identitarie extra-agricole II annualità</t>
  </si>
  <si>
    <t>Contributi per il finanziamento di servizi strategici alla fruizione turistica II annualità</t>
  </si>
  <si>
    <t>Sostegno ai processi di innovazione per imprese esistenti</t>
  </si>
  <si>
    <t>Centri per l’interpretazione del paesaggio</t>
  </si>
  <si>
    <t>Sostegno alla produzione agricola collegata alle produzioni agroalimentari locali ad esclusione di quelle coinvolta nella filiera della pasta fresca tradizionale locale</t>
  </si>
  <si>
    <t>Creazione di una filiera corta sostenibile e solidale</t>
  </si>
  <si>
    <t>Investimenti per itinerari turistici, aree attrezzate e percorsi segnalati e loro messa in rete</t>
  </si>
  <si>
    <t>Sostegno a investimenti alle aziende agricole per la diversificazione e sviluppo di attività extra agricole</t>
  </si>
  <si>
    <t>Adeguare gli spazi per le attività culturali– secondo bando</t>
  </si>
  <si>
    <t>Investire nelle tecnologie innovative per le start up artigiane</t>
  </si>
  <si>
    <t>Risparmio idrico 
(Bando 2023)</t>
  </si>
  <si>
    <t>Avvio di nuove attività imprenditoriali nel settore del
turismo sostenibile</t>
  </si>
  <si>
    <t>Contributi per il finanziamento della multifunzionalità delle aziende agricole - II annualità</t>
  </si>
  <si>
    <t>4.3.2 -Risparmio idrico 
(Bando 2023)</t>
  </si>
  <si>
    <t>Sostegno per la promozione della cooperazione tra aziende agricole e altri soggetti della filiera agroalimentare</t>
  </si>
  <si>
    <t>Sostegno per la promozione della cooperazione tra aziende agricole e altri soggetti della filiera agroalimentare per la creazione di un marchio di prodotto</t>
  </si>
  <si>
    <r>
      <t xml:space="preserve">Fine impegno con domande annualità 2024
</t>
    </r>
    <r>
      <rPr>
        <b/>
        <sz val="8"/>
        <color theme="1"/>
        <rFont val="Arial"/>
        <family val="2"/>
      </rPr>
      <t>Annualità a valere sul PSR 14-22: 2020-2021 e 2022</t>
    </r>
  </si>
  <si>
    <t>(1) Non risultano economie nella II fase della SM 16.1, in quanto la commissione ha completato positivamente l'istruttoria di 22 domande, per alcune delle quali devono essere ancora completate le istruttorie definitive da parte di Argea ed emesse le concessioni. Le risorse ancora da impegnare saranno pertanto assorbite.</t>
  </si>
  <si>
    <t>anno 2023</t>
  </si>
  <si>
    <t>Strutture ricettive in aziende agricole su fabbricati rurali esistenti</t>
  </si>
  <si>
    <t>Sostegno a investimenti nelle aziende agricole per la diversificazione e lo sviluppo di attività extra agricole (Agricoltura sociale)”</t>
  </si>
  <si>
    <t>“Riqualificazione dell’offerta ricettiva extra-alberghiera e nuove strutture ricettive extra-alberghiere”</t>
  </si>
  <si>
    <t>Sostegno a investimenti materiali e immateriali per rafforzare la fruizione e la comunicazione del territorio al fine di supportare le filiere e i sistemi produttivi locali</t>
  </si>
  <si>
    <t>Rete dell’accoglienza: ospitalità “supporto al rafforzamento del sistema dell’ospitalità nel GAL SGTt” per persone fisiche</t>
  </si>
  <si>
    <t xml:space="preserve">Sostegno alla Trasformazione e commercializzazione dei prodotti agricoli collegati alla filiera della pasta fresca </t>
  </si>
  <si>
    <t xml:space="preserve">Target  N+3 </t>
  </si>
  <si>
    <t>Delta</t>
  </si>
  <si>
    <t>% sul Target</t>
  </si>
  <si>
    <t>c =b-a</t>
  </si>
  <si>
    <t>d =b/a</t>
  </si>
  <si>
    <t>Bando per domanda di sostegno 2021
 (triennale)</t>
  </si>
  <si>
    <t xml:space="preserve">Fine impegno con domanda annualità 2024
</t>
  </si>
  <si>
    <t>(1) Per le misure non a superficie/capo le risorse programmate corrispondono alle risorse messe a bando.
 Per il tipo di intervento 10.1.1 le risorse programmate corrispondono con la dotazione finanziaria assegnata al tipo di intervento</t>
  </si>
  <si>
    <t>Progetti con solo Anticipi</t>
  </si>
  <si>
    <t>Progetti con solo SAL</t>
  </si>
  <si>
    <t>Progetti con solo Saldi</t>
  </si>
  <si>
    <t>Strutture ricettive extra-agricole (bando 2023)</t>
  </si>
  <si>
    <t>Riqualificazione e adeguamento di immobili, acquisto arredi e attrezzature per lo svolgimento di altre attività ricettive di piccole dimensioni</t>
  </si>
  <si>
    <t>Realizzazione di attività legate alle piccole ricettività low cost, anche in funzione di una rivitalizzazione dei centri storici (albergo diffuso)</t>
  </si>
  <si>
    <t>Potenziamento dell’ospitalità agrituristica e riqualificazione dell’esistente, compreso l’agricampeggio</t>
  </si>
  <si>
    <t>Realizzazione di spazi attrezzati per il turismo equestre, per attività didattiche e/o sociali in fattoria</t>
  </si>
  <si>
    <t>Riqualificazione dell’offerta ricettiva extra-alberghiera e nuove strutture ricettive extra-alberghiere</t>
  </si>
  <si>
    <t>Sostegno allo sviluppo di azioni di cooperazione per la diversificazione delle attività agricole in attività relative all’inclusione sociale e sviluppo di progetti di agricoltura sociale (Agrisociale)</t>
  </si>
  <si>
    <t>7.2</t>
  </si>
  <si>
    <t>Investimenti per la creazione, il miglioramento o l'espansione delle energie rinnovabili</t>
  </si>
  <si>
    <t xml:space="preserve"> Importo stanziato per bando post rimodulazione</t>
  </si>
  <si>
    <t>Eventi calamitosi verificatisi a novembre 2020 a luglio 2021</t>
  </si>
  <si>
    <t>72883</t>
  </si>
  <si>
    <t>(1)  Per le misure non a superficie/capo le risorse programmate corrispondono alle risorse messe a bando e/o programmate con decreto per eventuali scorrimenti delle graduatorie. 
 Per il tipo di intervento 10.1.5 le risorse programmate corrispondono con la dotazione finanziaria assegnata al tipo di intervento.</t>
  </si>
  <si>
    <t>Sostegno a investimenti per la realizzazione di piccoli impianti aziendali di trasformazione e/o spazi attrezzati per la vendita di prodotti aziendali</t>
  </si>
  <si>
    <t>Rete, sia orizzontale che verticale, tra aziende agricole e altri soggetti della filiera del vino</t>
  </si>
  <si>
    <t>Rete, sia orizzontale che verticale, tra aziende agricole e altri soggetti della filiera del grano</t>
  </si>
  <si>
    <t>Rete, sia orizzontale che verticale, tra aziende agricole e altri soggetti della filiera dell'olio</t>
  </si>
  <si>
    <t>Rete, sia orizzontale che verticale, tra aziende agricole e altri soggetti della filiera dell'ortofrutta</t>
  </si>
  <si>
    <t>Supporto al rafforzamento del sistema dell’Ospitalità</t>
  </si>
  <si>
    <t>Supporto al rafforzamento del sistema dell’Ospitalità - B&amp;B</t>
  </si>
  <si>
    <t>Smart village, servizi essenziali per la popolazione rurale – sostegno agli investimenti finalizzati all’introduzione, al miglioramento o all’espansione di servizi di base a livello locale comprese le attività culturali</t>
  </si>
  <si>
    <t>Realizzazione di infrastrutture turistiche su piccola scala</t>
  </si>
  <si>
    <t>Centri per l’interpretazione del paesaggio - II BANDO</t>
  </si>
  <si>
    <t>Sostegno ai processi di innovazione per imprese esistenti oltre il turismo</t>
  </si>
  <si>
    <t>Valorizzazione dei beni identitari come manifesto del turismo sostenibile</t>
  </si>
  <si>
    <t>Creazione di una filiera corta sostenibile e solidale (2024)</t>
  </si>
  <si>
    <t>4.1, 4.2, 6.4</t>
  </si>
  <si>
    <t>Promozione e valorizzazione delle filiere di qualità: selezione di Progetti Integrati di Filiera (PIF) e Integrati di Rete (PIRT)</t>
  </si>
  <si>
    <t>78631
78681
78701</t>
  </si>
  <si>
    <t xml:space="preserve">RISORSE TOP UP </t>
  </si>
  <si>
    <t xml:space="preserve">RISORSE EURI </t>
  </si>
  <si>
    <t>(1) ARGEA fornirà sucessivamente i dati delle domande di rinuncia, perciò le domande di sostegno con concessione non sono aggiornate</t>
  </si>
  <si>
    <t xml:space="preserve">* il dato delle DS presentate  è compreso di rinunce e bocciate, mentre per quanto riguarda le DP presentate il dato è al netto delle DP rinunciate e bocciate. </t>
  </si>
  <si>
    <t>(1) ARGEA fornirà sucessivamente i dati delle domande di rinuncia, perciò le domande di sostegno con concessione della tipologia di intervento 6.4.2 non sono aggiornate.</t>
  </si>
  <si>
    <t>(1) L'importo stanziato per bando della 4.3.1 è compreso di ulteriori risorse top up per € 4.950.000 non ancora inserite nel PF del PSR vers.9.1 - DECRETO N. 4489 / DECA 63 DEL 23/12/2022</t>
  </si>
  <si>
    <t>Sottomisura 7.1 - Sostegno per la stesura e l'aggiornamento di piani di sviluppo dei comuni e dei villaggi situati nelle zone rurali e dei servizi comunali di base, nonché di piani di tutela e di gestione dei siti Natura 2000 e di altre zone ad alto valore naturalistico</t>
  </si>
  <si>
    <t>Sottomisura 6.4 - Sostegno a investimenti nella creazione e nello sviluppo di attività extra-agricole</t>
  </si>
  <si>
    <t>13.1</t>
  </si>
  <si>
    <t>Bando 2007-2013 - ex 221</t>
  </si>
  <si>
    <t>Bando annualità 2024</t>
  </si>
  <si>
    <t>Stima economie</t>
  </si>
  <si>
    <t>negative e revoche</t>
  </si>
  <si>
    <t>Servizi di consulenza (Bando 2023)</t>
  </si>
  <si>
    <t>Creazione di itinerari tematici, mirato a valorizzare e promuovere, attraverso la creazione di itinerari tematici e/o sentieri accatastabili alla R.E.S., il patrimonio naturalistico, culturale, archeologico</t>
  </si>
  <si>
    <t>Sostegno a investimenti nelle aziende agricole</t>
  </si>
  <si>
    <t>Trasformazione, commercializzazione e sviluppo di prodotti agricoli</t>
  </si>
  <si>
    <t>40742**</t>
  </si>
  <si>
    <t>** I pagamenti saranno rettificati una volta terminate le procedure di recupero, in quanto 2 beneficiari hanno rinunciato al finanziamento. L'importo da recuperare è pari a € 39.048,86 relativo a 2 anticipi.</t>
  </si>
  <si>
    <t>SM</t>
  </si>
  <si>
    <t>% IMPEGNI</t>
  </si>
  <si>
    <t>% PAGAMENTI</t>
  </si>
  <si>
    <t>Totale M19</t>
  </si>
  <si>
    <t>g</t>
  </si>
  <si>
    <t>6-4-1 - Diversificazione</t>
  </si>
  <si>
    <t>5081**</t>
  </si>
  <si>
    <t>** I pagamenti del bando 5081 saranno rettificati una volta terminate le procedure di recupero.</t>
  </si>
  <si>
    <t>1 - GAL ANGLONA ROMANGIA</t>
  </si>
  <si>
    <t>2 - GAL BARBAGIA</t>
  </si>
  <si>
    <t>3 - GAL BARIGADU GUILCER</t>
  </si>
  <si>
    <t>4 - GAL CAMPIDANO</t>
  </si>
  <si>
    <t>5 - Distretto Rurale BMG</t>
  </si>
  <si>
    <t>6 - GAL GALLURA</t>
  </si>
  <si>
    <t xml:space="preserve">7 - GAL LINAS </t>
  </si>
  <si>
    <t>8 - GAL LOGUDORO GOCEANO</t>
  </si>
  <si>
    <t>9 - GAL MARGHINE</t>
  </si>
  <si>
    <t>10 - GAL  MARMILLA</t>
  </si>
  <si>
    <t>11 - GAL NUORESE BARONIA</t>
  </si>
  <si>
    <t>12 - GAL OGLIASTRA</t>
  </si>
  <si>
    <t xml:space="preserve">13 - GAL SARCIDANO </t>
  </si>
  <si>
    <t>14 - GAL SGT</t>
  </si>
  <si>
    <t>15 - GAL SINIS</t>
  </si>
  <si>
    <t>16 - GAL SULCIS</t>
  </si>
  <si>
    <t>17 - GAL TERRAS DE OLIA</t>
  </si>
  <si>
    <t>PROGRAMMATO DA DECRETO N. 3583 DEC A/60 DEL 26 NOVEMBRE 2021</t>
  </si>
  <si>
    <t>Sostegno a interventi di riqualificazione di spazi di fruizione pubblica</t>
  </si>
  <si>
    <t>d=b+c</t>
  </si>
  <si>
    <t>h=f+g</t>
  </si>
  <si>
    <t>i=h/a</t>
  </si>
  <si>
    <t>CONTRATTI DI RETE</t>
  </si>
  <si>
    <t>POTENZIAMENTO DELL`OFFERTA TURISTICA CON I GRANDI ATTRATTORI DEL SETTORE PUBBLICO</t>
  </si>
  <si>
    <t>di cui azioni di sistema</t>
  </si>
  <si>
    <r>
      <t xml:space="preserve">Sottomisura 10.2 - Sostegno per la conservazione, l'uso e lo sviluppo sostenibili delle risorse genetiche in agricoltura  </t>
    </r>
    <r>
      <rPr>
        <b/>
        <sz val="11"/>
        <color rgb="FFFF0000"/>
        <rFont val="Calibri"/>
        <family val="2"/>
        <scheme val="minor"/>
      </rPr>
      <t>(PROGETTO REVOCATO)</t>
    </r>
  </si>
  <si>
    <t>Progetti Integrati di Filiera (PIF)</t>
  </si>
  <si>
    <t>(6) Le domande di sostegno e di pagamento della misura di Assistenza tecnica sono in corso di presentazione e di istruttoria sul Sistema SIAN.</t>
  </si>
  <si>
    <t>ANNULLATO E RIEMANATO A LUGLIO 2024 NUOVO BANDO PIF</t>
  </si>
  <si>
    <t>Programmazione 2014-2022</t>
  </si>
  <si>
    <t>Programmazione 2007-2013 - ex 214.2</t>
  </si>
  <si>
    <t>Programmazione 2007-2013 - ex 214.6</t>
  </si>
  <si>
    <t>Programmazione 2007-2013- ex 214.7</t>
  </si>
  <si>
    <t>Programmazione 2007-2013 - ex 214.4.2</t>
  </si>
  <si>
    <r>
      <t xml:space="preserve">Fine impegno con domanda annualità 2023 - 
</t>
    </r>
    <r>
      <rPr>
        <b/>
        <sz val="8"/>
        <color theme="1"/>
        <rFont val="Arial"/>
        <family val="2"/>
      </rPr>
      <t>Annualità programmate nel PSR 14-22: 2021 e 2022</t>
    </r>
  </si>
  <si>
    <t xml:space="preserve">Programmazione 2014-2022
</t>
  </si>
  <si>
    <t>Programmazione 2014-2022 - Bando 2020</t>
  </si>
  <si>
    <r>
      <t xml:space="preserve">Chiusura luglio 2020 - Fine impegno con domande annualità 2024
</t>
    </r>
    <r>
      <rPr>
        <b/>
        <sz val="8"/>
        <color theme="1"/>
        <rFont val="Arial"/>
        <family val="2"/>
      </rPr>
      <t>Annualità programmate nel PSR 14-22: 2020-2021 e 2022</t>
    </r>
  </si>
  <si>
    <t>Programmazione 2014-2022 - Bando 2021 
(Risorse TOP UP)</t>
  </si>
  <si>
    <t>Chiusura luglio 2020 - Fine impegno con domande annualità 2024</t>
  </si>
  <si>
    <t>Programmazione 2007-2013 - ex 214.1</t>
  </si>
  <si>
    <r>
      <t xml:space="preserve">Fine impegno con domande annualità 2023
</t>
    </r>
    <r>
      <rPr>
        <b/>
        <sz val="8"/>
        <color theme="1"/>
        <rFont val="Arial"/>
        <family val="2"/>
      </rPr>
      <t>Annualità programmate nel PSR 14-22: 2019-2020-2021 e 2022</t>
    </r>
  </si>
  <si>
    <r>
      <t xml:space="preserve">Fine impegno con domande annualità 2023
</t>
    </r>
    <r>
      <rPr>
        <b/>
        <sz val="8"/>
        <color theme="1"/>
        <rFont val="Arial"/>
        <family val="2"/>
      </rPr>
      <t>Annualità programmate nel  PSR 14-22: 2021 e 2022</t>
    </r>
  </si>
  <si>
    <r>
      <t xml:space="preserve">Fine impegno con domande annualità 2024
</t>
    </r>
    <r>
      <rPr>
        <b/>
        <sz val="8"/>
        <color theme="1"/>
        <rFont val="Arial"/>
        <family val="2"/>
      </rPr>
      <t>Annualità programmate nel  PSR 14-22: 2022</t>
    </r>
  </si>
  <si>
    <t>Bando annualità 2025</t>
  </si>
  <si>
    <t>Programmazione 2014-2020</t>
  </si>
  <si>
    <t>Annualita  2016-2017-2018, 2019, 2020, 2021, 2022 e 2025</t>
  </si>
  <si>
    <t>Programmazione 2007-2013 - ex 225</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</si>
  <si>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presentate a valere sulla programmazione 2014-2022 per ciascuna Misura/Tipo intervento. 
Per le misure non a superficie le risorse programmate del fondo FEASR corrispondono all'importo stanziato per i bandi nel caso in cui l'importo delle domande presentate è pari o superiore all'importo stanziato per il bando, mentre nel caso in cui le domande presentate hanno un importo complessivo inferiore all'importo stanziato per bando è stato utilizzato l'importo delle domande finanziabili o gli importi degli impegni nel caso di istruttorie concluse.</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</si>
  <si>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presentate a valere sulla programmazione 2014-2022 per ciascuna Misura/Tipo intervento.  Per le misure non a superficie/capo le risorse programmate corrispondono alle risorse messe a bando, meno le eventuali risorse residue per domande presentate  insufficienti rispetto al budget, più le risorse aggiuntive per eventuali scorrimenti delle graduatorie, più i trascinamenti.</t>
  </si>
  <si>
    <t>(1) Per le misure connesse alle superfici e animali, ad eccezione degli anni di campagna 2019, 2020, 2021, 2022 e 2023 dove è stato considerato l'importo dei pagamenti erogati per tali campagne, le risorse programmate corrispondono per domande annuali con il fabbisogno finanziario stimato per ogni annualità, per le misure pluriennali con il fabbisogno finanziario stimato per le domande presentate e per le domande che saranno presentate a valere sulla programmazione 2014-2022 per ciascuna Misura/Tipo intervento. Per le misure non a superficie/capo le risorse programmate corrispondono alle risorse messe a bando, meno le eventuali risorse residue per domande presentate  insufficienti rispetto al budget, più le risorse aggiuntive per eventuali scorrimenti delle graduatorie, più i trascinamenti.</t>
  </si>
  <si>
    <t>Piano Finanziario</t>
  </si>
  <si>
    <t>(3) I pagamenti al 31.03.2025 riguardano le erogazioni dell'OP Agea e dell'OP Argea fino all'elenco di pagamento n. 85 (inclusi i mandati diretti AGEA e ARGEA), al netto dei recuperi inseriti nelle dichiarazioni di spesa alla data del 31.12.2024</t>
  </si>
  <si>
    <t>(1) Per le misure non a superficie, l'importo riportato corrisponde a quanto previsto nel bando.  
Per le misure connesse alle superfici e animali è stato inserito l'importo del fabbisogno per tutte le annualità sotto impegno nella programmazione 14-22</t>
  </si>
  <si>
    <t>Descrizione Bando/ Programmazione</t>
  </si>
  <si>
    <r>
      <t xml:space="preserve">Programma di Sviluppo Rurale 2014 - 2022
Stato di attuazione misure 
</t>
    </r>
    <r>
      <rPr>
        <sz val="10"/>
        <color theme="1"/>
        <rFont val="Arial"/>
        <family val="2"/>
      </rPr>
      <t>(30 giugno 2025)</t>
    </r>
  </si>
  <si>
    <r>
      <t>Pagamenti  totali al 31/03/2025</t>
    </r>
    <r>
      <rPr>
        <b/>
        <vertAlign val="superscript"/>
        <sz val="8"/>
        <color rgb="FF000000"/>
        <rFont val="Arial"/>
        <family val="2"/>
      </rPr>
      <t xml:space="preserve"> (3)</t>
    </r>
  </si>
  <si>
    <t>Pagamenti al 30/06/2025 (4)</t>
  </si>
  <si>
    <t>PSR SARDEGNA 2014-2022 - STATO ATTUAZIONE DELLE MISURE AL 30/06/2025</t>
  </si>
  <si>
    <t xml:space="preserve">(2) Per le misure non a superficie gli impegni giuridicamente vincolanti riguardano le concessioni al 30/06/2025. Per le misure connesse alle superfici e animali, ad eccezione degli anni di campagna 2019, 2020, 2021,  2022 e 2023 dove è stato considerato l'importo dei pagamenti erogati per tali campagne, l'importo impegnato corrisponde per domande annuali con il fabbisogno finanziario stimato per ogni annualità, per le misure pluriennali con il fabbisogno finanziario stimato per le domande presentate per ciascuna Misura/Tipo intervento. </t>
  </si>
  <si>
    <t>PSR SARDEGNA 2014-2022 - STATO ATTUAZIONE DELLE MISURE AL 30/06/2025 - FONDO FEASR</t>
  </si>
  <si>
    <t>Pagamenti al 30/06/2025 (3)</t>
  </si>
  <si>
    <t>(2) Per il tipo di intervento 10.1.1 gli impegni giuridicamente vincolanti corrispondono con la dotazione finanziaria assegnata al tipo di intervento. 
Per le misure non a superficie gli impegni giuridicamente vincolanti riguardano le concessioni al 30/06/2025</t>
  </si>
  <si>
    <t>PSR SARDEGNA 2014-2022 - STATO ATTUAZIONE TOP UP AL 30/06/2025</t>
  </si>
  <si>
    <t>(2) Per le misure non a superficie gli impegni giuridicamente vincolanti riguardano le concessioni al 30/06/2025. 
Per il tipo di intervento 10.1.5  gli impegni giuridicamente vincolanti corrispondono con la dotazione finanziaria assegnata al tipo di intervento.</t>
  </si>
  <si>
    <t>PSR SARDEGNA 2014-2022 - IMPEGNI AL 30/06/2025 SULLE RISORSE PROGRAMMATE NEL 2014-2022 
 SPESA PUBBLICA FEASR+EURI</t>
  </si>
  <si>
    <r>
      <t>(2) Per le misure non a superficie gli impegni giuridicamente vincolanti riguardano le concessioni al</t>
    </r>
    <r>
      <rPr>
        <sz val="7.5"/>
        <rFont val="Arial"/>
        <family val="2"/>
      </rPr>
      <t xml:space="preserve"> 30/06/2025</t>
    </r>
    <r>
      <rPr>
        <sz val="7.5"/>
        <color theme="1"/>
        <rFont val="Arial"/>
        <family val="2"/>
      </rPr>
      <t>, per le misure connesse alle superfici e animali corrispondono agli importi stimati del fabbisogno finanziario per le domande sotto impegno e per tutto il periodo d'impegno.</t>
    </r>
  </si>
  <si>
    <t>PSR SARDEGNA 2014-2022 - STATO ATTUAZIONE EURI AL 30/06/2025</t>
  </si>
  <si>
    <t>Avanzamento procedurale al 30/06/2025</t>
  </si>
  <si>
    <t>Avanzamento procedurale bandi a regia GAL al 30/06/2025</t>
  </si>
  <si>
    <t>Spesa  realizzata al 30/06/2025</t>
  </si>
  <si>
    <t>Domande di sostegno istruite al 30/06/2025</t>
  </si>
  <si>
    <t>Domande di pagamento presentate*
al 30/06/2025</t>
  </si>
  <si>
    <t>Pagamenti erogati al 30/06/2025</t>
  </si>
  <si>
    <t>Riegilogo finanziario della misura 19 per sottomisura al 30/06/2025</t>
  </si>
  <si>
    <t>IMPEGNI al 30/06/2025*</t>
  </si>
  <si>
    <t>PAGAMENTI al 30/06/2025*</t>
  </si>
  <si>
    <t>Riegilogo finanziario della sottomisura 19.2 per GAL al 30/06/2025</t>
  </si>
  <si>
    <t>IMPEGNI AZIONI DI SISTEMA al 30/06/2025*</t>
  </si>
  <si>
    <t>IMPEGNI BANDI LEADER al 30/06/2025*</t>
  </si>
  <si>
    <t>IMPEGNI TOTALI 19.2 al 30/06/2025*</t>
  </si>
  <si>
    <t>PAGAMENTI AZIONI DI SISTEMA al 30/06/2025*</t>
  </si>
  <si>
    <t>PAGAMENTI BANDI LEADER al 30/06/2025*</t>
  </si>
  <si>
    <t>PAGAMENTI TOTALI 19.2 al 30/06/2025*</t>
  </si>
  <si>
    <t>(2) Per le misure non a superficie gli impegni giuridicamente vincolanti riguardano le concessioni al 30/06/2025, per le misure connesse alle superfici e animali, ad eccezione degli anni di campagna 2019, 2020, 2021,  2022 e 2023 dove è stato considerato l'importo dei pagamenti erogati per tali campagne, l'importo impegnato corrisponde per domande annuali con il fabbisogno finanziario stimato per ogni annualità, per le misure pluriennali con il fabbisogno finanziario stimato per le domande presentate per ciascuna Misura/Tipo intervento.</t>
  </si>
  <si>
    <t>Fonte: SIAN - Report DSS AST2-01 e AST2-02 del 30.06.2025 e le erogazioni dell'OP Agea e dell'OP Argea fino all'elenco di pagamento n. 90 (inclusi i mandati diretti AGEA e ARGEA), al netto dei recuperi inseriti nelle dichiarazioni di spesa alla data del  31.03.2025.</t>
  </si>
  <si>
    <t>Fonte: SIAN - Report DSS AST2-01 e AST2-02 del 30.06.2025 e le erogazioni dell'OP Agea e dell'OP Argea fino all'elenco di pagamento n. 91 (inclusi i mandati diretti AGEA e ARGEA), al netto dei recuperi inseriti nelle dichiarazioni di spesa alla data del  31.03.2025.</t>
  </si>
  <si>
    <t>* Impegni e pagamenti, comprensivi delle azioni di sistema, al netto dei trascinamenti.
I pagamenti al 30.06.2025 riguardano le erogazioni dell'OP Agea e dell'OP Argea fino all'elenco di pagamento n. 91 (inclusi i mandati diretti AGEA e ARGEA), al netto dei recuperi inseriti nelle dichiarazioni di spesa alla data del 31.03.2025.</t>
  </si>
  <si>
    <t>* Impegni e pagamenti, comprensivi delle azioni di sistema, al netto dei trascinamenti
I pagamenti al 30.06.2025 riguardano le erogazioni dell'OP Agea e dell'OP Argea fino all'elenco di pagamento n. 91 (inclusi i mandati diretti AGEA e ARGEA), al netto dei recuperi inseriti nelle dichiarazioni di spesa alla data del 31.03.2025.</t>
  </si>
  <si>
    <t>(4) I pagamenti al 30.06.2025 riguardano le erogazioni dell'OP Agea e dell'OP Argea fino all'elenco di pagamento n. 91 (inclusi i mandati diretti AGEA e ARGEA), al netto dei recuperi inseriti nelle dichiarazioni di spesa alla data del 31.03.2025</t>
  </si>
  <si>
    <t>(3)  I pagamenti al 30.06.2025 riguardano le erogazioni dell'OP Agea e dell'OP Argea fino all'elenco di pagamento n. 91 (inclusi i mandati diretti AGEA e ARGEA), al netto dei recuperi inseriti nelle dichiarazioni di spesa alla data del 31.03.2025</t>
  </si>
  <si>
    <t>(3)I pagamenti al 30.06.2025 riguardano le erogazioni dell'OP Agea e dell'OP Argea fino all'elenco di pagamento n. 91 (inclusi i mandati diretti AGEA e ARGEA), al netto dei recuperi inseriti nelle dichiarazioni di spesa alla data del 31.03.2025</t>
  </si>
  <si>
    <t>(3) I pagamenti al 30.06.2025 riguardano le erogazioni dell'OP Agea e dell'OP Argea fino all'elenco di pagamento n. 91 (inclusi i mandati diretti AGEA e ARGEA), al netto dei recuperi inseriti nelle dichiarazioni di spesa alla data del 31.03.2025</t>
  </si>
  <si>
    <t>di cui quota FEASR</t>
  </si>
  <si>
    <t>h=f/a</t>
  </si>
  <si>
    <t>n</t>
  </si>
  <si>
    <t>Obiettivo di spesa (N+3) al 31/12/2025</t>
  </si>
  <si>
    <t>(quota FEASR)</t>
  </si>
  <si>
    <t xml:space="preserve">(quota FEASR) </t>
  </si>
  <si>
    <t>EURI</t>
  </si>
  <si>
    <t xml:space="preserve">(EURI) </t>
  </si>
  <si>
    <t xml:space="preserve">( EURI) </t>
  </si>
  <si>
    <t xml:space="preserve">Spesa pubblica </t>
  </si>
  <si>
    <t>d= a+c</t>
  </si>
  <si>
    <t>EURI aggiuntivi</t>
  </si>
  <si>
    <t>Totale spesa cof. FEASR + Euri</t>
  </si>
  <si>
    <t>i=h(a+c+e)</t>
  </si>
  <si>
    <t>m</t>
  </si>
  <si>
    <t>o=m/(a+e+c)</t>
  </si>
  <si>
    <t>p</t>
  </si>
  <si>
    <t>Spesa cofinanziata FEASR+Euri</t>
  </si>
  <si>
    <t>r</t>
  </si>
  <si>
    <t>q=p/d</t>
  </si>
  <si>
    <r>
      <rPr>
        <b/>
        <sz val="9"/>
        <color rgb="FF000000"/>
        <rFont val="Arial"/>
        <family val="2"/>
      </rPr>
      <t xml:space="preserve">Finanziamenti nazionali integrativi
</t>
    </r>
    <r>
      <rPr>
        <b/>
        <sz val="8"/>
        <color rgb="FF000000"/>
        <rFont val="Arial"/>
        <family val="2"/>
      </rPr>
      <t xml:space="preserve"> (liberati a seguito del calcolo dei nuovi tassi FEASR)</t>
    </r>
  </si>
  <si>
    <t>M8 - Investimenti nello sviluppo delle aree forestali e nel miglioramento della redditività delle foreste</t>
  </si>
  <si>
    <t>Misura
Sottomisura</t>
  </si>
  <si>
    <t>Piano finanziario
(Euro)</t>
  </si>
  <si>
    <r>
      <t>Stima fabbisogno finanziario domande di sostegno sotto impegno</t>
    </r>
    <r>
      <rPr>
        <b/>
        <sz val="8"/>
        <color rgb="FF000000"/>
        <rFont val="Arial"/>
        <family val="2"/>
      </rPr>
      <t xml:space="preserve">
(Euro)</t>
    </r>
  </si>
  <si>
    <t>Anno campagna</t>
  </si>
  <si>
    <t>Programmazione 2007-2013</t>
  </si>
  <si>
    <t>Pagamenti al 30.06.2025 al netto dei recuperi
(Euro)</t>
  </si>
  <si>
    <t>Spesa pubblica</t>
  </si>
  <si>
    <t>Spesa FEASR</t>
  </si>
  <si>
    <t>N.
domande</t>
  </si>
  <si>
    <r>
      <t>Stima fabbisogno finanziario</t>
    </r>
    <r>
      <rPr>
        <b/>
        <sz val="8"/>
        <color rgb="FF000000"/>
        <rFont val="Arial"/>
        <family val="2"/>
      </rPr>
      <t xml:space="preserve">
(Euro)</t>
    </r>
  </si>
  <si>
    <t>N.  Domande presentate</t>
  </si>
  <si>
    <t>N. Domande liquidate</t>
  </si>
  <si>
    <t>N. Domande 
da liquidare</t>
  </si>
  <si>
    <t xml:space="preserve"> % trascinamenti</t>
  </si>
  <si>
    <t>i</t>
  </si>
  <si>
    <t>o</t>
  </si>
  <si>
    <t>p=(o/n)</t>
  </si>
  <si>
    <t>q</t>
  </si>
  <si>
    <t>8.1</t>
  </si>
  <si>
    <t>Precedenti al 2015</t>
  </si>
  <si>
    <t>nd</t>
  </si>
  <si>
    <t>Totale M8.1</t>
  </si>
  <si>
    <t>Fonte: SIAN  - Pagamenti erogati dall'OP AGEA e dall'OP ARGEA, fino all'elenco di pagamento n. 91 (inclusi i mandati diretti AGEA e ARGEA aggionati al 03.03.2025 ), al netto dei recuperi inseriti nelle dichiarazioni di spesa alla data del 31.03.2025 (al Q1 2025)</t>
  </si>
  <si>
    <t>M10 - Pagamenti agro-climatico-ambientali - Risorse FEASR+EURI</t>
  </si>
  <si>
    <t>Piano finanziario
 (Euro)</t>
  </si>
  <si>
    <t>Pagamenti al 30.06.2025 al netto dei recuperi</t>
  </si>
  <si>
    <t xml:space="preserve">Spesa pubblica
</t>
  </si>
  <si>
    <t>Spesa FEASR +EURI</t>
  </si>
  <si>
    <r>
      <t>Stima fabbisogno finanziario</t>
    </r>
    <r>
      <rPr>
        <b/>
        <vertAlign val="superscript"/>
        <sz val="8"/>
        <color rgb="FF000000"/>
        <rFont val="Arial"/>
        <family val="2"/>
      </rPr>
      <t>(1)</t>
    </r>
    <r>
      <rPr>
        <b/>
        <sz val="8"/>
        <color rgb="FF000000"/>
        <rFont val="Arial"/>
        <family val="2"/>
      </rPr>
      <t xml:space="preserve">
(Euro)</t>
    </r>
  </si>
  <si>
    <r>
      <t>N. Domande presentate</t>
    </r>
    <r>
      <rPr>
        <b/>
        <vertAlign val="superscript"/>
        <sz val="8"/>
        <color rgb="FF000000"/>
        <rFont val="Arial"/>
        <family val="2"/>
      </rPr>
      <t>(2)</t>
    </r>
  </si>
  <si>
    <r>
      <t>Importo richiesto</t>
    </r>
    <r>
      <rPr>
        <b/>
        <vertAlign val="superscript"/>
        <sz val="8"/>
        <color rgb="FF000000"/>
        <rFont val="Arial"/>
        <family val="2"/>
      </rPr>
      <t xml:space="preserve">(3) </t>
    </r>
    <r>
      <rPr>
        <b/>
        <sz val="8"/>
        <color rgb="FF000000"/>
        <rFont val="Arial"/>
        <family val="2"/>
      </rPr>
      <t xml:space="preserve">
Report ASR2-20
(Euro)</t>
    </r>
  </si>
  <si>
    <r>
      <t>Importo ammesso</t>
    </r>
    <r>
      <rPr>
        <b/>
        <vertAlign val="superscript"/>
        <sz val="8"/>
        <color rgb="FF000000"/>
        <rFont val="Arial"/>
        <family val="2"/>
      </rPr>
      <t>(4)</t>
    </r>
    <r>
      <rPr>
        <b/>
        <sz val="8"/>
        <color rgb="FF000000"/>
        <rFont val="Arial"/>
        <family val="2"/>
      </rPr>
      <t xml:space="preserve">
Report ASR2-20</t>
    </r>
    <r>
      <rPr>
        <b/>
        <sz val="8"/>
        <color rgb="FF000000"/>
        <rFont val="Arial"/>
        <family val="2"/>
      </rPr>
      <t xml:space="preserve">
(Euro)</t>
    </r>
  </si>
  <si>
    <r>
      <t>Stima fabbisogno finanziario</t>
    </r>
    <r>
      <rPr>
        <b/>
        <vertAlign val="superscript"/>
        <sz val="8"/>
        <color rgb="FF000000"/>
        <rFont val="Arial"/>
        <family val="2"/>
      </rPr>
      <t>(5)</t>
    </r>
    <r>
      <rPr>
        <b/>
        <sz val="8"/>
        <color rgb="FF000000"/>
        <rFont val="Arial"/>
        <family val="2"/>
      </rPr>
      <t xml:space="preserve">
(Euro)</t>
    </r>
  </si>
  <si>
    <r>
      <t>Importo pagato</t>
    </r>
    <r>
      <rPr>
        <b/>
        <vertAlign val="superscript"/>
        <sz val="8"/>
        <color rgb="FF000000"/>
        <rFont val="Arial"/>
        <family val="2"/>
      </rPr>
      <t>(6)</t>
    </r>
    <r>
      <rPr>
        <b/>
        <sz val="8"/>
        <color rgb="FF000000"/>
        <rFont val="Arial"/>
        <family val="2"/>
      </rPr>
      <t xml:space="preserve">
Report ASR2-20
(Euro)</t>
    </r>
  </si>
  <si>
    <r>
      <t>N. Domande liquidate</t>
    </r>
    <r>
      <rPr>
        <b/>
        <vertAlign val="superscript"/>
        <sz val="8"/>
        <color rgb="FF000000"/>
        <rFont val="Arial"/>
        <family val="2"/>
      </rPr>
      <t>(7)</t>
    </r>
  </si>
  <si>
    <r>
      <t>N. Domande 
da liquidare</t>
    </r>
    <r>
      <rPr>
        <b/>
        <vertAlign val="superscript"/>
        <sz val="8"/>
        <color rgb="FF000000"/>
        <rFont val="Arial"/>
        <family val="2"/>
      </rPr>
      <t>(8)</t>
    </r>
  </si>
  <si>
    <t>Spesa publica</t>
  </si>
  <si>
    <t>Spesa FEASR+EURI</t>
  </si>
  <si>
    <t>di cui risorse EURI</t>
  </si>
  <si>
    <t>s</t>
  </si>
  <si>
    <t>t=(s/q)</t>
  </si>
  <si>
    <t>u</t>
  </si>
  <si>
    <t>Totale M10.1</t>
  </si>
  <si>
    <t>(1) Importi comunicati dall'OP-ARGEA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</si>
  <si>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Fonte: Report SIAN  ASR2-20 del 01.07.2025, pagamenti erogati dall'OP AGEA e dall'OP ARGEA fino all'elenco di pagamento n. 91 (inclusi i mandati diretti AGEA e ARGEA aggionati al 03.03.2025 ), al netto dei recuperi inseriti nelle dichiarazioni di spesa alla data del 31.03.2025 (al Q1 2025)</t>
  </si>
  <si>
    <t>Sottomisura 10.1 - Pagamento per impegni agro-climatio-ambientali - Dati indicativi per Tipo di intervento e bando</t>
  </si>
  <si>
    <t>Descrizione Tipo di intervento</t>
  </si>
  <si>
    <t>Anno presentazione domanda di sostegno</t>
  </si>
  <si>
    <r>
      <t>N. Domande presentate</t>
    </r>
    <r>
      <rPr>
        <b/>
        <vertAlign val="superscript"/>
        <sz val="8"/>
        <color rgb="FF000000"/>
        <rFont val="Arial"/>
        <family val="2"/>
      </rPr>
      <t>(1)</t>
    </r>
  </si>
  <si>
    <r>
      <t>Importo richiesto</t>
    </r>
    <r>
      <rPr>
        <b/>
        <vertAlign val="superscript"/>
        <sz val="8"/>
        <color rgb="FF000000"/>
        <rFont val="Arial"/>
        <family val="2"/>
      </rPr>
      <t xml:space="preserve">(2) </t>
    </r>
    <r>
      <rPr>
        <b/>
        <sz val="8"/>
        <color rgb="FF000000"/>
        <rFont val="Arial"/>
        <family val="2"/>
      </rPr>
      <t xml:space="preserve">
Report ASR2-20
(Euro)</t>
    </r>
  </si>
  <si>
    <r>
      <t>Importo ammesso</t>
    </r>
    <r>
      <rPr>
        <b/>
        <vertAlign val="superscript"/>
        <sz val="8"/>
        <color rgb="FF000000"/>
        <rFont val="Arial"/>
        <family val="2"/>
      </rPr>
      <t>(3)</t>
    </r>
    <r>
      <rPr>
        <b/>
        <sz val="8"/>
        <color rgb="FF000000"/>
        <rFont val="Arial"/>
        <family val="2"/>
      </rPr>
      <t xml:space="preserve">
Report ASR2-20
(Euro)</t>
    </r>
  </si>
  <si>
    <r>
      <t>Stima fabbisogno finanziario</t>
    </r>
    <r>
      <rPr>
        <b/>
        <vertAlign val="superscript"/>
        <sz val="8"/>
        <color rgb="FF000000"/>
        <rFont val="Arial"/>
        <family val="2"/>
      </rPr>
      <t>(4)</t>
    </r>
    <r>
      <rPr>
        <b/>
        <sz val="8"/>
        <color rgb="FF000000"/>
        <rFont val="Arial"/>
        <family val="2"/>
      </rPr>
      <t xml:space="preserve">
(Euro)</t>
    </r>
  </si>
  <si>
    <r>
      <t>Importo pagato</t>
    </r>
    <r>
      <rPr>
        <b/>
        <vertAlign val="superscript"/>
        <sz val="8"/>
        <color rgb="FF000000"/>
        <rFont val="Arial"/>
        <family val="2"/>
      </rPr>
      <t>(5)</t>
    </r>
    <r>
      <rPr>
        <b/>
        <sz val="8"/>
        <color rgb="FF000000"/>
        <rFont val="Arial"/>
        <family val="2"/>
      </rPr>
      <t xml:space="preserve">
Report ASR2-20
(Euro)</t>
    </r>
  </si>
  <si>
    <r>
      <t>N. Domande liquidate</t>
    </r>
    <r>
      <rPr>
        <b/>
        <vertAlign val="superscript"/>
        <sz val="8"/>
        <color rgb="FF000000"/>
        <rFont val="Arial"/>
        <family val="2"/>
      </rPr>
      <t>(6)</t>
    </r>
  </si>
  <si>
    <r>
      <t>N. Domande 
da liquidare</t>
    </r>
    <r>
      <rPr>
        <b/>
        <vertAlign val="superscript"/>
        <sz val="8"/>
        <color rgb="FF000000"/>
        <rFont val="Arial"/>
        <family val="2"/>
      </rPr>
      <t>(7)</t>
    </r>
  </si>
  <si>
    <t>Totali</t>
  </si>
  <si>
    <t>di cui risorse TOP UP</t>
  </si>
  <si>
    <t>di cui in trascinamento</t>
  </si>
  <si>
    <t>q=(p/m)</t>
  </si>
  <si>
    <t>DS 2016</t>
  </si>
  <si>
    <t>Tot. DS 2016</t>
  </si>
  <si>
    <t>DS 2021</t>
  </si>
  <si>
    <t>Tot. DS 2021</t>
  </si>
  <si>
    <t>Totale 10.1.1</t>
  </si>
  <si>
    <t>Totale 10.1.2</t>
  </si>
  <si>
    <t>10.1.3 - Tutela dell'habitat della gallina prataiola</t>
  </si>
  <si>
    <t>Totale 10.1.3</t>
  </si>
  <si>
    <t xml:space="preserve">10.1.4 - Conservazione on farm delle risorse genetiche vegetali di interesse agrario a rischio di erosione genetica </t>
  </si>
  <si>
    <t>DS 2022</t>
  </si>
  <si>
    <t>Tot. 10.1.4</t>
  </si>
  <si>
    <t>10.1.5 - Conservazione di razze locali minacciate di abbandono - Bando risorse FEASR</t>
  </si>
  <si>
    <t>DS 2020</t>
  </si>
  <si>
    <t>Totale 10.1.5 - Bando FEASR</t>
  </si>
  <si>
    <t>10.1.5 - Conservazione di razze locali minacciate di abbandono - Bando risorse TOP UP</t>
  </si>
  <si>
    <r>
      <t>2023</t>
    </r>
    <r>
      <rPr>
        <vertAlign val="superscript"/>
        <sz val="8"/>
        <color rgb="FF000000"/>
        <rFont val="Arial"/>
        <family val="2"/>
      </rPr>
      <t>(8)</t>
    </r>
  </si>
  <si>
    <t>Totale 10.1.5 - TOP UP</t>
  </si>
  <si>
    <t>Totale M10</t>
  </si>
  <si>
    <t>(1) Numero di domande rilasciate nel portale SIAN
(2) Importo richiesto come da report ASR2-20
(3) Importo ammesso come da report ASR2-20
(4) L'importo del fabbisogno finanziario è stato stimato per ogni campagna considerando tutte le domande sotto impegno a valere sulla programmazione 2014-2022 
(5) Importo pagato come da report ASR2-20 (L’importo è al lordo dei recuperi e non ricomprende le domande pagate presenti nei decreti AGEA e negli elenchi di pagamento ARGEA non presenti nel Report ASR2-20)
(6) Domande con almeno un pagamento erogato da AGEA o ARGEA (anticipo e/o saldo) e domande di pagamento con Stato avanzamento domanda "LIQUIDATO CON IMPORTO A ZERO"
(7) Domande di pagamento da liquidare (sono escluse le domande di pagamento Stato domanda "RINUNCIATO" e "BOCCIATO" e le domande con Stato di avanzamento domanda "NON RICEVIBILE", "NON AMMISSIBILE AL PAGAMENTO", "NON AMMISSIBILE AL SOSTEGNO")
(8) Per il tipo di intervento 10.1.5 fondi regionali nell'anno 2023 n. 1 domanda , è associata al bando coo-finanziato e non al bando con fondi regionali. Per avere la situazione reale nel presente stato di attuazione tale domanda è stata considerata nel bando fondi regionali</t>
  </si>
  <si>
    <t xml:space="preserve">M11 - Agricoltura biologica </t>
  </si>
  <si>
    <t>Piano finanziario</t>
  </si>
  <si>
    <r>
      <t>Stima fabbisogno finanziario</t>
    </r>
    <r>
      <rPr>
        <b/>
        <vertAlign val="superscript"/>
        <sz val="8"/>
        <color rgb="FF000000"/>
        <rFont val="Arial"/>
        <family val="2"/>
      </rPr>
      <t xml:space="preserve"> (1)</t>
    </r>
    <r>
      <rPr>
        <b/>
        <sz val="8"/>
        <color rgb="FF000000"/>
        <rFont val="Arial"/>
        <family val="2"/>
      </rPr>
      <t xml:space="preserve">
(Euro)</t>
    </r>
  </si>
  <si>
    <r>
      <t>Stima fabbisogno finanziario</t>
    </r>
    <r>
      <rPr>
        <b/>
        <vertAlign val="subscript"/>
        <sz val="8"/>
        <color rgb="FF000000"/>
        <rFont val="Arial"/>
        <family val="2"/>
      </rPr>
      <t>(1)</t>
    </r>
    <r>
      <rPr>
        <b/>
        <sz val="8"/>
        <color rgb="FF000000"/>
        <rFont val="Arial"/>
        <family val="2"/>
      </rPr>
      <t xml:space="preserve">
(Euro)</t>
    </r>
  </si>
  <si>
    <r>
      <t>Importo ammesso</t>
    </r>
    <r>
      <rPr>
        <b/>
        <vertAlign val="superscript"/>
        <sz val="8"/>
        <color rgb="FF000000"/>
        <rFont val="Arial"/>
        <family val="2"/>
      </rPr>
      <t>(4)</t>
    </r>
    <r>
      <rPr>
        <b/>
        <sz val="8"/>
        <color rgb="FF000000"/>
        <rFont val="Arial"/>
        <family val="2"/>
      </rPr>
      <t xml:space="preserve">
Report ASR2-20
(Euro)</t>
    </r>
  </si>
  <si>
    <t>s=(r/q)</t>
  </si>
  <si>
    <t>t</t>
  </si>
  <si>
    <t>Totale M11</t>
  </si>
  <si>
    <t>(1) Importi calcolati considerando gli importi comunicati dall'OP-ARGEA e l'andamento dei pagamenti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</si>
  <si>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M11 - Agricoltura biologica - Dati indicativi per bando</t>
  </si>
  <si>
    <t>o=(n/m)</t>
  </si>
  <si>
    <t xml:space="preserve">DS 2016
</t>
  </si>
  <si>
    <t>DS 2017</t>
  </si>
  <si>
    <t>Tot. DS 2017</t>
  </si>
  <si>
    <t>DS 2018</t>
  </si>
  <si>
    <t>Tot. DS 2018</t>
  </si>
  <si>
    <t>DS 2019</t>
  </si>
  <si>
    <t>Tot. DS 2019</t>
  </si>
  <si>
    <t>DS_2020</t>
  </si>
  <si>
    <t>Tot. DS 2020</t>
  </si>
  <si>
    <t>DS_2021
(Bando triennale)</t>
  </si>
  <si>
    <t>DS_2022
(Bando triennale)</t>
  </si>
  <si>
    <t>Tot. DS 2022</t>
  </si>
  <si>
    <t>(1) Numero di domande rilasciate nel portale SIAN
(2) Importo richiesto come da report ASR2-20
(3) Importo ammesso come da report ASR2-20
(4) L'importo del fabbisogno finanziario è stato stimato per ogni campagna considerando tutte le domande sotto impegno a valere sulla programmazione 2014-2022 
(5) Importo pagato come da report ASR2-20 (L’importo è al lordo dei recuperi e non ricomprende le domande pagate presenti nei decreti AGEA e negli elenchi di pagamento ARGEA non presenti nel Report ASR2-20)
(6) Domande con almeno un pagamento erogato da AGEA o ARGEA (anticipo e/o saldo) e domande di pagamento con Stato avanzamento domanda "LIQUIDATO CON IMPORTO A ZERO"
(7) Domande di pagamento da liquidare (sono escluse le domande di pagamento Stato domanda "RINUNCIATO" e "BOCCIATO" e le domande con Stato di avanzamento domanda "NON RICEVIBILE", "NON AMMISSIBILE AL PAGAMENTO", "NON AMMISSIBILE AL SOSTEGNO")</t>
  </si>
  <si>
    <t xml:space="preserve">M13 - Indennità a favore  delle zone soggette a vincoli naturali o ad altri vincoli specifici </t>
  </si>
  <si>
    <t>13.1
13.2</t>
  </si>
  <si>
    <t>Totale M13</t>
  </si>
  <si>
    <t>(1) Importi calcolati considerando gli importi comunicati dall'OP-ARGEA e l'andamento dei pagamenti
(2) Numero di domande rilasciate nel portale SIAN (report ASR2-20)
(3) Importo richiesto come da report ASR2-20
(4)  Importo ammesso come da report ASR2-20
(5) L'importo del fabbisogno finanziario è stato stimato per ogni campagna considerando tutte le domande sotto impegno a valere sulla programmazione 2014-2022. Per l'annualità 2024 l'importo è stato calcolato utilizzando le superfici presenti nel report ASR2-08 scaricato il 30.09.2024, in quanto nel report ASR2-20 l'importo calcolato non è corretto.
(6) Importo pagato come da report ASR2-20 (L’importo è al lordo dei recuperi e non ricomprende le domande pagate presenti nei decreti AGEA e negli elenchi di pagamento ARGEA non presenti nel Report ASR2-20)
(7) Domande con almeno un pagamento erogato da AGEA o ARGEA (anticipo e/o saldo) e domande di pagamento con Stato avanzamento domanda "LIQUIDATO CON IMPORTO A ZERO"
(8) Domande di pagamento da liquidare (sono escluse le domande di pagamento Stato domanda "RINUNCIATO" e "BOCCIATO" e le domande con Stato di avanzamento domanda "NON RICEVIBILE", "NON AMMISSIBILE AL PAGAMENTO", "NON AMMISSIBILE AL SOSTEGNO")</t>
  </si>
  <si>
    <t xml:space="preserve">M14 - Benessere degli animali </t>
  </si>
  <si>
    <t>Totale M14</t>
  </si>
  <si>
    <t>M15 - Servizi silvo-ambientali e climatici a salvaguardia delle foreste</t>
  </si>
  <si>
    <t>Stima fabbisogno finanziario(1)
(Euro)</t>
  </si>
  <si>
    <t>N. Domande presentate(2)</t>
  </si>
  <si>
    <t>Importo richiesto(3) 
Report ASR2-20
(Euro)</t>
  </si>
  <si>
    <t>Importo ammesso(4)
Report ASR2-20
(Euro)</t>
  </si>
  <si>
    <t>Stima fabbisogno finanziario(5)
(Euro)</t>
  </si>
  <si>
    <t>Importo pagato(6)
Report ASR2-20
(Euro)</t>
  </si>
  <si>
    <t>N. Domande liquidate(7)</t>
  </si>
  <si>
    <t>N. Domande 
da liquidare(8)</t>
  </si>
  <si>
    <t>Totale M15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</si>
</sst>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0.00\ &quot;€&quot;;\-#,##0.00\ &quot;€&quot;"/>
    <numFmt numFmtId="8" formatCode="#,##0.00\ &quot;€&quot;;[Red]\-#,##0.00\ &quot;€&quot;"/>
    <numFmt numFmtId="43" formatCode="_-* #,##0.00_-;\-* #,##0.00_-;_-* &quot;-&quot;??_-;_-@_-"/>
    <numFmt numFmtId="164" formatCode="_-* #,##0.00\ _€_-;\-* #,##0.00\ _€_-;_-* &quot;-&quot;??\ _€_-;_-@_-"/>
    <numFmt numFmtId="165" formatCode="&quot; &quot;#,##0.00&quot;   &quot;;&quot;-&quot;#,##0.00&quot;   &quot;;&quot; -&quot;00&quot;   &quot;;&quot; &quot;@&quot; &quot;"/>
    <numFmt numFmtId="166" formatCode="&quot; &quot;#,##0&quot; &quot;;&quot;-&quot;#,##0&quot; &quot;;&quot; -&quot;00&quot; &quot;;&quot; &quot;@&quot; &quot;"/>
    <numFmt numFmtId="167" formatCode="_(* #,##0_);_(* \(#,##0\);_(* &quot;-&quot;??_);_(@_)"/>
    <numFmt numFmtId="168" formatCode="_-* #,##0_-;\-* #,##0_-;_-* &quot;-&quot;??_-;_-@_-"/>
    <numFmt numFmtId="169" formatCode="_-* #,##0\ _€_-;\-* #,##0\ _€_-;_-* &quot;-&quot;??\ _€_-;_-@_-"/>
    <numFmt numFmtId="170" formatCode="_(* #,##0.00_);_(* \(#,##0.00\);_(* &quot;-&quot;??_);_(@_)"/>
    <numFmt numFmtId="171" formatCode="#,##0_ ;\-#,##0\ "/>
    <numFmt numFmtId="172" formatCode="0.0%"/>
    <numFmt numFmtId="173" formatCode="#,##0.00_ ;\-#,##0.00\ "/>
    <numFmt numFmtId="174" formatCode="_-* #,##0.000\ _€_-;\-* #,##0.000\ _€_-;_-* &quot;-&quot;??\ _€_-;_-@_-"/>
    <numFmt numFmtId="175" formatCode="#,##0.0\ &quot;€&quot;;\-#,##0.0\ &quot;€&quot;"/>
    <numFmt numFmtId="176" formatCode="_-&quot;€&quot;\ * #,##0.00_-;\-&quot;€&quot;\ * #,##0.00_-;_-&quot;€&quot;\ * &quot;-&quot;??_-;_-@_-"/>
    <numFmt numFmtId="177" formatCode="[$€-2]\ #,##0.00;[Red]\-[$€-2]\ #,##0.00"/>
    <numFmt numFmtId="178" formatCode="#,##0_ ;[Red]\-#,##0\ "/>
  </numFmts>
  <fonts count="73" x14ac:knownFonts="1">
    <font>
      <sz val="11"/>
      <color theme="1"/>
      <name val="Calibri"/>
      <family val="2"/>
      <scheme val="minor"/>
    </font>
    <font>
      <sz val="11"/>
      <color theme="1"/>
      <name val="Calibri"/>
      <family val="2"/>
      <scheme val="minor"/>
    </font>
    <font>
      <b/>
      <sz val="8"/>
      <color rgb="FF000000"/>
      <name val="Arial"/>
      <family val="2"/>
    </font>
    <font>
      <sz val="10"/>
      <color indexed="8"/>
      <name val="Arial"/>
      <family val="2"/>
    </font>
    <font>
      <sz val="8"/>
      <color indexed="8"/>
      <name val="Arial"/>
      <family val="2"/>
    </font>
    <font>
      <sz val="8"/>
      <color rgb="FF000000"/>
      <name val="Arial"/>
      <family val="2"/>
    </font>
    <font>
      <sz val="8"/>
      <color theme="1"/>
      <name val="Arial"/>
      <family val="2"/>
    </font>
    <font>
      <b/>
      <sz val="12"/>
      <color theme="1"/>
      <name val="Arial"/>
      <family val="2"/>
    </font>
    <font>
      <b/>
      <sz val="9"/>
      <color rgb="FF000000"/>
      <name val="Arial"/>
      <family val="2"/>
    </font>
    <font>
      <sz val="11"/>
      <color rgb="FF000000"/>
      <name val="Calibri"/>
      <family val="2"/>
    </font>
    <font>
      <sz val="8"/>
      <name val="Arial"/>
      <family val="2"/>
    </font>
    <font>
      <sz val="8"/>
      <color theme="1"/>
      <name val="Calibri"/>
      <family val="2"/>
      <scheme val="minor"/>
    </font>
    <font>
      <b/>
      <sz val="9"/>
      <color theme="1"/>
      <name val="Arial"/>
      <family val="2"/>
    </font>
    <font>
      <b/>
      <vertAlign val="superscript"/>
      <sz val="8"/>
      <color rgb="FF000000"/>
      <name val="Arial"/>
      <family val="2"/>
    </font>
    <font>
      <b/>
      <i/>
      <sz val="8"/>
      <color rgb="FF000000"/>
      <name val="Arial"/>
      <family val="2"/>
    </font>
    <font>
      <b/>
      <sz val="8"/>
      <color theme="1"/>
      <name val="Arial"/>
      <family val="2"/>
    </font>
    <font>
      <b/>
      <sz val="8"/>
      <name val="Arial"/>
      <family val="2"/>
    </font>
    <font>
      <b/>
      <sz val="8"/>
      <color indexed="8"/>
      <name val="Arial"/>
      <family val="2"/>
    </font>
    <font>
      <sz val="11"/>
      <color theme="1"/>
      <name val="Arial"/>
      <family val="2"/>
    </font>
    <font>
      <b/>
      <sz val="11"/>
      <color theme="1"/>
      <name val="Calibri"/>
      <family val="2"/>
      <scheme val="minor"/>
    </font>
    <font>
      <b/>
      <i/>
      <sz val="8"/>
      <name val="Arial"/>
      <family val="2"/>
    </font>
    <font>
      <b/>
      <i/>
      <sz val="10"/>
      <name val="Arial"/>
      <family val="2"/>
    </font>
    <font>
      <sz val="9"/>
      <color indexed="8"/>
      <name val="Arial"/>
      <family val="2"/>
    </font>
    <font>
      <b/>
      <sz val="10"/>
      <color theme="1"/>
      <name val="Calibri"/>
      <family val="2"/>
      <scheme val="minor"/>
    </font>
    <font>
      <sz val="20"/>
      <color theme="1"/>
      <name val="Arial"/>
      <family val="2"/>
    </font>
    <font>
      <sz val="10"/>
      <color theme="1"/>
      <name val="Arial"/>
      <family val="2"/>
    </font>
    <font>
      <b/>
      <sz val="10"/>
      <name val="Arial"/>
      <family val="2"/>
    </font>
    <font>
      <sz val="10"/>
      <name val="Arial"/>
      <family val="2"/>
    </font>
    <font>
      <sz val="7.5"/>
      <color theme="1"/>
      <name val="Arial"/>
      <family val="2"/>
    </font>
    <font>
      <b/>
      <sz val="11"/>
      <color theme="1"/>
      <name val="Arial"/>
      <family val="2"/>
    </font>
    <font>
      <sz val="7"/>
      <color theme="1"/>
      <name val="Arial"/>
      <family val="2"/>
    </font>
    <font>
      <b/>
      <vertAlign val="superscript"/>
      <sz val="11"/>
      <color theme="1"/>
      <name val="Calibri"/>
      <family val="2"/>
      <scheme val="minor"/>
    </font>
    <font>
      <sz val="9"/>
      <color theme="1"/>
      <name val="Arial"/>
      <family val="2"/>
    </font>
    <font>
      <sz val="8"/>
      <name val="Calibri"/>
      <family val="2"/>
      <scheme val="minor"/>
    </font>
    <font>
      <sz val="9"/>
      <name val="Arial"/>
      <family val="2"/>
    </font>
    <font>
      <b/>
      <i/>
      <sz val="8"/>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b/>
      <sz val="10"/>
      <color theme="1"/>
      <name val="Arial"/>
      <family val="2"/>
    </font>
    <font>
      <i/>
      <sz val="8"/>
      <color theme="1"/>
      <name val="Arial"/>
      <family val="2"/>
    </font>
    <font>
      <b/>
      <vertAlign val="superscript"/>
      <sz val="8"/>
      <color indexed="8"/>
      <name val="Arial"/>
      <family val="2"/>
    </font>
    <font>
      <sz val="7.5"/>
      <name val="Arial"/>
      <family val="2"/>
    </font>
    <font>
      <b/>
      <vertAlign val="superscript"/>
      <sz val="6"/>
      <color rgb="FF000000"/>
      <name val="Arial"/>
      <family val="2"/>
    </font>
    <font>
      <sz val="10"/>
      <name val="Arial"/>
      <family val="2"/>
    </font>
    <font>
      <b/>
      <i/>
      <sz val="10"/>
      <name val="Arial"/>
      <family val="2"/>
    </font>
    <font>
      <sz val="10"/>
      <name val="Arial"/>
      <family val="2"/>
    </font>
    <font>
      <b/>
      <i/>
      <sz val="10"/>
      <name val="Arial"/>
      <family val="2"/>
    </font>
    <font>
      <b/>
      <sz val="12"/>
      <name val="Arial"/>
      <family val="2"/>
    </font>
    <font>
      <sz val="14"/>
      <color rgb="FF000000"/>
      <name val="Arial"/>
      <family val="2"/>
    </font>
    <font>
      <sz val="9"/>
      <color theme="1"/>
      <name val="Calibri"/>
      <family val="2"/>
      <scheme val="minor"/>
    </font>
    <font>
      <b/>
      <sz val="7"/>
      <color rgb="FF000000"/>
      <name val="Arial"/>
      <family val="2"/>
    </font>
    <font>
      <b/>
      <sz val="11"/>
      <color rgb="FFFF0000"/>
      <name val="Calibri"/>
      <family val="2"/>
      <scheme val="minor"/>
    </font>
    <font>
      <sz val="14"/>
      <name val="Arial"/>
      <family val="2"/>
    </font>
    <font>
      <b/>
      <i/>
      <sz val="7"/>
      <color rgb="FF000000"/>
      <name val="Arial"/>
      <family val="2"/>
    </font>
    <font>
      <i/>
      <sz val="8"/>
      <color theme="1"/>
      <name val="Calibri"/>
      <family val="2"/>
      <scheme val="minor"/>
    </font>
    <font>
      <i/>
      <sz val="8"/>
      <color rgb="FF000000"/>
      <name val="Arial"/>
      <family val="2"/>
    </font>
    <font>
      <b/>
      <i/>
      <sz val="7.5"/>
      <color rgb="FF000000"/>
      <name val="Arial"/>
      <family val="2"/>
    </font>
    <font>
      <vertAlign val="superscript"/>
      <sz val="8"/>
      <color rgb="FF000000"/>
      <name val="Arial"/>
      <family val="2"/>
    </font>
    <font>
      <b/>
      <vertAlign val="subscript"/>
      <sz val="8"/>
      <color rgb="FF000000"/>
      <name val="Arial"/>
      <family val="2"/>
    </font>
    <font>
      <i/>
      <sz val="8"/>
      <name val="Arial"/>
      <family val="2"/>
    </font>
  </fonts>
  <fills count="4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FF"/>
        <bgColor rgb="FFFFFFFF"/>
      </patternFill>
    </fill>
    <fill>
      <patternFill patternType="solid">
        <fgColor rgb="FFFFFFFF"/>
        <bgColor rgb="FF000000"/>
      </patternFill>
    </fill>
    <fill>
      <patternFill patternType="solid">
        <fgColor theme="0"/>
        <bgColor rgb="FF000000"/>
      </patternFill>
    </fill>
    <fill>
      <patternFill patternType="solid">
        <fgColor theme="0"/>
        <bgColor rgb="FFFFFFFF"/>
      </patternFill>
    </fill>
    <fill>
      <patternFill patternType="solid">
        <fgColor theme="0"/>
        <bgColor indexed="9"/>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rgb="FFEBF1E9"/>
        <bgColor indexed="64"/>
      </patternFill>
    </fill>
    <fill>
      <patternFill patternType="solid">
        <fgColor theme="9" tint="0.79998168889431442"/>
        <bgColor indexed="64"/>
      </patternFill>
    </fill>
    <fill>
      <patternFill patternType="gray0625"/>
    </fill>
    <fill>
      <patternFill patternType="solid">
        <fgColor theme="9" tint="-0.249977111117893"/>
        <bgColor indexed="64"/>
      </patternFill>
    </fill>
    <fill>
      <patternFill patternType="solid">
        <fgColor indexed="65"/>
        <bgColor indexed="64"/>
      </patternFill>
    </fill>
    <fill>
      <patternFill patternType="gray0625">
        <bgColor theme="0"/>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auto="1"/>
      </top>
      <bottom/>
      <diagonal/>
    </border>
    <border>
      <left style="thin">
        <color rgb="FF000000"/>
      </left>
      <right style="thin">
        <color rgb="FF000000"/>
      </right>
      <top/>
      <bottom style="thin">
        <color rgb="FF000000"/>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000000"/>
      </left>
      <right/>
      <top/>
      <bottom style="thin">
        <color rgb="FF000000"/>
      </bottom>
      <diagonal/>
    </border>
    <border>
      <left style="thin">
        <color auto="1"/>
      </left>
      <right/>
      <top/>
      <bottom/>
      <diagonal/>
    </border>
    <border>
      <left style="thin">
        <color auto="1"/>
      </left>
      <right style="thin">
        <color auto="1"/>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diagonal/>
    </border>
    <border>
      <left/>
      <right/>
      <top style="thin">
        <color indexed="64"/>
      </top>
      <bottom style="thin">
        <color indexed="64"/>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right/>
      <top style="thin">
        <color rgb="FF000000"/>
      </top>
      <bottom/>
      <diagonal/>
    </border>
    <border>
      <left style="thin">
        <color auto="1"/>
      </left>
      <right/>
      <top style="thin">
        <color indexed="64"/>
      </top>
      <bottom/>
      <diagonal/>
    </border>
    <border>
      <left/>
      <right style="thin">
        <color auto="1"/>
      </right>
      <top style="thin">
        <color indexed="64"/>
      </top>
      <bottom/>
      <diagonal/>
    </border>
    <border>
      <left style="thin">
        <color indexed="64"/>
      </left>
      <right style="thin">
        <color rgb="FF000000"/>
      </right>
      <top style="thin">
        <color rgb="FF00000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indexed="64"/>
      </bottom>
      <diagonal/>
    </border>
    <border>
      <left style="thin">
        <color indexed="9"/>
      </left>
      <right style="thin">
        <color indexed="9"/>
      </right>
      <top style="thin">
        <color indexed="9"/>
      </top>
      <bottom style="thin">
        <color indexed="9"/>
      </bottom>
      <diagonal/>
    </border>
    <border>
      <left style="thin">
        <color rgb="FF000000"/>
      </left>
      <right/>
      <top/>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rgb="FF000000"/>
      </left>
      <right style="thin">
        <color indexed="64"/>
      </right>
      <top style="thin">
        <color rgb="FF000000"/>
      </top>
      <bottom style="thin">
        <color indexed="64"/>
      </bottom>
      <diagonal/>
    </border>
    <border>
      <left/>
      <right style="thin">
        <color indexed="64"/>
      </right>
      <top style="thin">
        <color rgb="FF000000"/>
      </top>
      <bottom/>
      <diagonal/>
    </border>
    <border>
      <left/>
      <right/>
      <top style="thin">
        <color indexed="64"/>
      </top>
      <bottom/>
      <diagonal/>
    </border>
  </borders>
  <cellStyleXfs count="161">
    <xf numFmtId="0" fontId="0" fillId="0" borderId="0"/>
    <xf numFmtId="164" fontId="1" fillId="0" borderId="0" applyFont="0" applyFill="0" applyBorder="0" applyAlignment="0" applyProtection="0"/>
    <xf numFmtId="164" fontId="1" fillId="0" borderId="0" applyFont="0" applyFill="0" applyBorder="0" applyAlignment="0" applyProtection="0"/>
    <xf numFmtId="0" fontId="3" fillId="0" borderId="0"/>
    <xf numFmtId="165" fontId="9"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0" fontId="21" fillId="0" borderId="0" applyFont="0" applyFill="0" applyBorder="0" applyAlignment="0" applyProtection="0"/>
    <xf numFmtId="43" fontId="1" fillId="0" borderId="0" applyFont="0" applyFill="0" applyBorder="0" applyAlignment="0" applyProtection="0"/>
    <xf numFmtId="0" fontId="27"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164" fontId="1" fillId="0" borderId="0" applyFont="0" applyFill="0" applyBorder="0" applyAlignment="0" applyProtection="0"/>
    <xf numFmtId="0" fontId="36" fillId="0" borderId="38" applyNumberFormat="0" applyFill="0" applyAlignment="0" applyProtection="0"/>
    <xf numFmtId="0" fontId="37" fillId="0" borderId="39" applyNumberFormat="0" applyFill="0" applyAlignment="0" applyProtection="0"/>
    <xf numFmtId="0" fontId="38" fillId="0" borderId="40" applyNumberFormat="0" applyFill="0" applyAlignment="0" applyProtection="0"/>
    <xf numFmtId="0" fontId="38" fillId="0" borderId="0" applyNumberFormat="0" applyFill="0" applyBorder="0" applyAlignment="0" applyProtection="0"/>
    <xf numFmtId="0" fontId="39" fillId="9" borderId="0" applyNumberFormat="0" applyBorder="0" applyAlignment="0" applyProtection="0"/>
    <xf numFmtId="0" fontId="40" fillId="10" borderId="0" applyNumberFormat="0" applyBorder="0" applyAlignment="0" applyProtection="0"/>
    <xf numFmtId="0" fontId="41" fillId="12" borderId="41" applyNumberFormat="0" applyAlignment="0" applyProtection="0"/>
    <xf numFmtId="0" fontId="42" fillId="13" borderId="42" applyNumberFormat="0" applyAlignment="0" applyProtection="0"/>
    <xf numFmtId="0" fontId="43" fillId="13" borderId="41" applyNumberFormat="0" applyAlignment="0" applyProtection="0"/>
    <xf numFmtId="0" fontId="44" fillId="0" borderId="43" applyNumberFormat="0" applyFill="0" applyAlignment="0" applyProtection="0"/>
    <xf numFmtId="0" fontId="45" fillId="14" borderId="44" applyNumberFormat="0" applyAlignment="0" applyProtection="0"/>
    <xf numFmtId="0" fontId="46" fillId="0" borderId="0" applyNumberFormat="0" applyFill="0" applyBorder="0" applyAlignment="0" applyProtection="0"/>
    <xf numFmtId="0" fontId="1" fillId="15" borderId="45" applyNumberFormat="0" applyFont="0" applyAlignment="0" applyProtection="0"/>
    <xf numFmtId="0" fontId="47" fillId="0" borderId="0" applyNumberFormat="0" applyFill="0" applyBorder="0" applyAlignment="0" applyProtection="0"/>
    <xf numFmtId="0" fontId="19" fillId="0" borderId="46" applyNumberFormat="0" applyFill="0" applyAlignment="0" applyProtection="0"/>
    <xf numFmtId="0" fontId="4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8"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49" fillId="0" borderId="0" applyNumberFormat="0" applyFill="0" applyBorder="0" applyAlignment="0" applyProtection="0"/>
    <xf numFmtId="0" fontId="50" fillId="11" borderId="0" applyNumberFormat="0" applyBorder="0" applyAlignment="0" applyProtection="0"/>
    <xf numFmtId="0" fontId="48" fillId="19" borderId="0" applyNumberFormat="0" applyBorder="0" applyAlignment="0" applyProtection="0"/>
    <xf numFmtId="0" fontId="48" fillId="23"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5" borderId="0" applyNumberFormat="0" applyBorder="0" applyAlignment="0" applyProtection="0"/>
    <xf numFmtId="0" fontId="48" fillId="39" borderId="0" applyNumberFormat="0" applyBorder="0" applyAlignment="0" applyProtection="0"/>
    <xf numFmtId="17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0" borderId="0"/>
    <xf numFmtId="43" fontId="57" fillId="0" borderId="0" applyFont="0" applyFill="0" applyBorder="0" applyAlignment="0" applyProtection="0"/>
    <xf numFmtId="43" fontId="21" fillId="0" borderId="0" applyFont="0" applyFill="0" applyBorder="0" applyAlignment="0" applyProtection="0"/>
    <xf numFmtId="165" fontId="9" fillId="0" borderId="0" applyFont="0" applyFill="0" applyBorder="0" applyAlignment="0" applyProtection="0"/>
    <xf numFmtId="0" fontId="58" fillId="0" borderId="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7" fillId="0" borderId="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7" fillId="0" borderId="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cellStyleXfs>
  <cellXfs count="1155">
    <xf numFmtId="0" fontId="0" fillId="0" borderId="0" xfId="0"/>
    <xf numFmtId="0" fontId="10" fillId="6" borderId="1" xfId="0" applyFont="1" applyFill="1" applyBorder="1" applyAlignment="1">
      <alignment horizontal="center" vertical="center" wrapText="1" readingOrder="1"/>
    </xf>
    <xf numFmtId="14" fontId="10" fillId="3" borderId="1" xfId="0" applyNumberFormat="1" applyFont="1" applyFill="1" applyBorder="1" applyAlignment="1">
      <alignment horizontal="center" vertical="center" wrapText="1" readingOrder="1"/>
    </xf>
    <xf numFmtId="0" fontId="10" fillId="3" borderId="1" xfId="0" applyFont="1" applyFill="1" applyBorder="1" applyAlignment="1">
      <alignment horizontal="center" vertical="center" wrapText="1" readingOrder="1"/>
    </xf>
    <xf numFmtId="0" fontId="0" fillId="0" borderId="0" xfId="0" applyAlignment="1">
      <alignment horizontal="center" vertical="center"/>
    </xf>
    <xf numFmtId="0" fontId="11" fillId="0" borderId="0" xfId="0" applyFont="1"/>
    <xf numFmtId="0" fontId="6" fillId="0" borderId="0" xfId="0" applyFont="1" applyAlignment="1">
      <alignment horizontal="right"/>
    </xf>
    <xf numFmtId="164" fontId="0" fillId="0" borderId="0" xfId="1" applyFont="1" applyAlignment="1">
      <alignment horizontal="right"/>
    </xf>
    <xf numFmtId="0" fontId="18" fillId="0" borderId="0" xfId="0" applyFont="1"/>
    <xf numFmtId="0" fontId="0" fillId="0" borderId="0" xfId="0" applyAlignment="1">
      <alignment horizontal="right"/>
    </xf>
    <xf numFmtId="0" fontId="18" fillId="0" borderId="0" xfId="0" applyFont="1" applyAlignment="1">
      <alignment horizontal="right"/>
    </xf>
    <xf numFmtId="3" fontId="10" fillId="3" borderId="1" xfId="0" applyNumberFormat="1" applyFont="1" applyFill="1" applyBorder="1" applyAlignment="1">
      <alignment vertical="center"/>
    </xf>
    <xf numFmtId="0" fontId="6" fillId="0" borderId="0" xfId="0" applyFont="1"/>
    <xf numFmtId="0" fontId="0" fillId="0" borderId="0" xfId="0" applyAlignment="1">
      <alignment horizontal="center"/>
    </xf>
    <xf numFmtId="0" fontId="19" fillId="0" borderId="0" xfId="0" applyFont="1"/>
    <xf numFmtId="167" fontId="14"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readingOrder="1"/>
    </xf>
    <xf numFmtId="14" fontId="10" fillId="0" borderId="1" xfId="0" applyNumberFormat="1"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6" fillId="2" borderId="1" xfId="0" applyFont="1" applyFill="1" applyBorder="1" applyAlignment="1">
      <alignment horizontal="left" vertical="center" wrapText="1" readingOrder="1"/>
    </xf>
    <xf numFmtId="3" fontId="16" fillId="2" borderId="1" xfId="2" applyNumberFormat="1" applyFont="1" applyFill="1" applyBorder="1" applyAlignment="1">
      <alignment horizontal="center" vertical="center" wrapText="1" readingOrder="1"/>
    </xf>
    <xf numFmtId="0" fontId="10" fillId="0" borderId="4" xfId="0" applyFont="1" applyBorder="1" applyAlignment="1">
      <alignment horizontal="center" vertical="center" wrapText="1" readingOrder="1"/>
    </xf>
    <xf numFmtId="3" fontId="10" fillId="5" borderId="1" xfId="0" applyNumberFormat="1" applyFont="1" applyFill="1" applyBorder="1" applyAlignment="1">
      <alignment horizontal="center" vertical="center" wrapText="1" readingOrder="1"/>
    </xf>
    <xf numFmtId="0" fontId="0" fillId="3" borderId="0" xfId="0" applyFill="1"/>
    <xf numFmtId="171" fontId="10" fillId="3" borderId="1" xfId="7" applyNumberFormat="1" applyFont="1" applyFill="1" applyBorder="1" applyAlignment="1">
      <alignment horizontal="right" vertical="center" wrapText="1" readingOrder="1"/>
    </xf>
    <xf numFmtId="3" fontId="10" fillId="6" borderId="1" xfId="0" applyNumberFormat="1" applyFont="1" applyFill="1" applyBorder="1" applyAlignment="1">
      <alignment horizontal="center" vertical="center" wrapText="1" readingOrder="1"/>
    </xf>
    <xf numFmtId="14" fontId="10" fillId="0" borderId="4" xfId="0" applyNumberFormat="1" applyFont="1" applyBorder="1" applyAlignment="1">
      <alignment horizontal="center" vertical="center" wrapText="1" readingOrder="1"/>
    </xf>
    <xf numFmtId="167" fontId="5" fillId="3" borderId="1" xfId="0" applyNumberFormat="1" applyFont="1" applyFill="1" applyBorder="1" applyAlignment="1">
      <alignment horizontal="center" vertical="center" wrapText="1"/>
    </xf>
    <xf numFmtId="171" fontId="5" fillId="3" borderId="1" xfId="7" applyNumberFormat="1" applyFont="1" applyFill="1" applyBorder="1" applyAlignment="1">
      <alignment horizontal="right" vertical="center" wrapText="1" readingOrder="1"/>
    </xf>
    <xf numFmtId="0" fontId="10" fillId="3" borderId="4" xfId="0" applyFont="1" applyFill="1" applyBorder="1" applyAlignment="1">
      <alignment horizontal="center" vertical="center" wrapText="1" readingOrder="1"/>
    </xf>
    <xf numFmtId="3" fontId="10" fillId="0" borderId="4" xfId="0" applyNumberFormat="1" applyFont="1" applyBorder="1" applyAlignment="1">
      <alignment horizontal="right" vertical="center" wrapText="1" readingOrder="1"/>
    </xf>
    <xf numFmtId="14" fontId="10" fillId="3" borderId="4" xfId="0" applyNumberFormat="1" applyFont="1" applyFill="1" applyBorder="1" applyAlignment="1">
      <alignment horizontal="center" vertical="center" wrapText="1" readingOrder="1"/>
    </xf>
    <xf numFmtId="3" fontId="10" fillId="3" borderId="1" xfId="0" applyNumberFormat="1" applyFont="1" applyFill="1" applyBorder="1" applyAlignment="1">
      <alignment horizontal="right" vertical="center" wrapText="1" readingOrder="1"/>
    </xf>
    <xf numFmtId="3" fontId="10" fillId="5" borderId="1" xfId="7" applyNumberFormat="1" applyFont="1" applyFill="1" applyBorder="1" applyAlignment="1">
      <alignment horizontal="right" vertical="center" wrapText="1" readingOrder="1"/>
    </xf>
    <xf numFmtId="0" fontId="10" fillId="3" borderId="1" xfId="0" applyFont="1" applyFill="1" applyBorder="1" applyAlignment="1">
      <alignment horizontal="center" vertical="center"/>
    </xf>
    <xf numFmtId="0" fontId="10" fillId="6" borderId="7" xfId="0" applyFont="1" applyFill="1" applyBorder="1" applyAlignment="1">
      <alignment horizontal="center" vertical="center" wrapText="1" readingOrder="1"/>
    </xf>
    <xf numFmtId="167" fontId="10" fillId="0" borderId="1" xfId="2" applyNumberFormat="1" applyFont="1" applyBorder="1" applyAlignment="1">
      <alignment horizontal="right" vertical="center" wrapText="1" readingOrder="1"/>
    </xf>
    <xf numFmtId="3" fontId="10" fillId="3" borderId="1" xfId="2" applyNumberFormat="1" applyFont="1" applyFill="1" applyBorder="1" applyAlignment="1">
      <alignment horizontal="right" vertical="center" wrapText="1"/>
    </xf>
    <xf numFmtId="3" fontId="10" fillId="0" borderId="11" xfId="0" applyNumberFormat="1" applyFont="1" applyBorder="1" applyAlignment="1">
      <alignment horizontal="center" vertical="center" wrapText="1" readingOrder="1"/>
    </xf>
    <xf numFmtId="3" fontId="10" fillId="0" borderId="4" xfId="0" applyNumberFormat="1" applyFont="1" applyBorder="1" applyAlignment="1">
      <alignment horizontal="center" vertical="center" wrapText="1" readingOrder="1"/>
    </xf>
    <xf numFmtId="166" fontId="10" fillId="4" borderId="4" xfId="4" applyNumberFormat="1" applyFont="1" applyFill="1" applyBorder="1" applyAlignment="1">
      <alignment horizontal="right" vertical="center" wrapText="1"/>
    </xf>
    <xf numFmtId="3" fontId="10" fillId="0" borderId="4" xfId="0" applyNumberFormat="1" applyFont="1" applyBorder="1" applyAlignment="1">
      <alignment vertical="center" wrapText="1" readingOrder="1"/>
    </xf>
    <xf numFmtId="0" fontId="10" fillId="0" borderId="11" xfId="0" applyFont="1" applyBorder="1" applyAlignment="1">
      <alignment horizontal="center" vertical="center" wrapText="1" readingOrder="1"/>
    </xf>
    <xf numFmtId="168" fontId="10" fillId="3" borderId="1" xfId="8" applyNumberFormat="1" applyFont="1" applyFill="1" applyBorder="1" applyAlignment="1">
      <alignment horizontal="center" vertical="center" wrapText="1" readingOrder="1"/>
    </xf>
    <xf numFmtId="0" fontId="23" fillId="0" borderId="0" xfId="0" applyFont="1"/>
    <xf numFmtId="0" fontId="12" fillId="0" borderId="0" xfId="0" applyFont="1"/>
    <xf numFmtId="0" fontId="26" fillId="2" borderId="4" xfId="0" applyFont="1" applyFill="1" applyBorder="1" applyAlignment="1">
      <alignment horizontal="center" vertical="center" wrapText="1" readingOrder="1"/>
    </xf>
    <xf numFmtId="3" fontId="10" fillId="0" borderId="9" xfId="0" applyNumberFormat="1" applyFont="1" applyBorder="1" applyAlignment="1">
      <alignment horizontal="center" vertical="center" wrapText="1" readingOrder="1"/>
    </xf>
    <xf numFmtId="3" fontId="0" fillId="0" borderId="0" xfId="0" applyNumberFormat="1" applyAlignment="1">
      <alignment horizontal="center" vertical="center"/>
    </xf>
    <xf numFmtId="3" fontId="10" fillId="3" borderId="20" xfId="0" applyNumberFormat="1" applyFont="1" applyFill="1" applyBorder="1" applyAlignment="1">
      <alignment vertical="center"/>
    </xf>
    <xf numFmtId="3" fontId="0" fillId="0" borderId="0" xfId="0" applyNumberFormat="1"/>
    <xf numFmtId="3" fontId="4" fillId="3" borderId="20" xfId="12" applyNumberFormat="1" applyFont="1" applyFill="1" applyBorder="1" applyAlignment="1">
      <alignment horizontal="right" wrapText="1"/>
    </xf>
    <xf numFmtId="7" fontId="17" fillId="2" borderId="20" xfId="3" applyNumberFormat="1" applyFont="1" applyFill="1" applyBorder="1" applyAlignment="1">
      <alignment horizontal="right" vertical="center" wrapText="1"/>
    </xf>
    <xf numFmtId="3" fontId="15" fillId="2" borderId="20" xfId="1" applyNumberFormat="1" applyFont="1" applyFill="1" applyBorder="1" applyAlignment="1">
      <alignment horizontal="right" vertical="center"/>
    </xf>
    <xf numFmtId="3" fontId="15" fillId="2" borderId="20" xfId="1" applyNumberFormat="1" applyFont="1" applyFill="1" applyBorder="1" applyAlignment="1">
      <alignment vertical="center"/>
    </xf>
    <xf numFmtId="9" fontId="15" fillId="2" borderId="20" xfId="5" applyFont="1" applyFill="1" applyBorder="1" applyAlignment="1">
      <alignment horizontal="center" vertical="center"/>
    </xf>
    <xf numFmtId="0" fontId="10" fillId="2" borderId="1" xfId="0" applyFont="1" applyFill="1" applyBorder="1" applyAlignment="1">
      <alignment horizontal="center" vertical="center" wrapText="1" readingOrder="1"/>
    </xf>
    <xf numFmtId="167" fontId="5" fillId="3" borderId="20" xfId="0" applyNumberFormat="1" applyFont="1" applyFill="1" applyBorder="1" applyAlignment="1">
      <alignment horizontal="center" vertical="center" wrapText="1"/>
    </xf>
    <xf numFmtId="0" fontId="10" fillId="3" borderId="20" xfId="0" applyFont="1" applyFill="1" applyBorder="1" applyAlignment="1">
      <alignment horizontal="center" vertical="center" wrapText="1" readingOrder="1"/>
    </xf>
    <xf numFmtId="3" fontId="10" fillId="3" borderId="20" xfId="0" applyNumberFormat="1" applyFont="1" applyFill="1" applyBorder="1" applyAlignment="1">
      <alignment horizontal="center" vertical="center" wrapText="1" readingOrder="1"/>
    </xf>
    <xf numFmtId="0" fontId="16" fillId="2" borderId="20" xfId="0" applyFont="1" applyFill="1" applyBorder="1" applyAlignment="1">
      <alignment horizontal="left" vertical="center" wrapText="1" readingOrder="1"/>
    </xf>
    <xf numFmtId="3" fontId="16" fillId="2" borderId="20" xfId="2" applyNumberFormat="1" applyFont="1" applyFill="1" applyBorder="1" applyAlignment="1">
      <alignment horizontal="center" vertical="center" wrapText="1" readingOrder="1"/>
    </xf>
    <xf numFmtId="3" fontId="10" fillId="0" borderId="21" xfId="0" applyNumberFormat="1" applyFont="1" applyBorder="1" applyAlignment="1">
      <alignment horizontal="center" vertical="center" wrapText="1" readingOrder="1"/>
    </xf>
    <xf numFmtId="3" fontId="6" fillId="3" borderId="20" xfId="2" applyNumberFormat="1" applyFont="1" applyFill="1" applyBorder="1" applyAlignment="1">
      <alignment vertical="center"/>
    </xf>
    <xf numFmtId="0" fontId="5" fillId="0" borderId="20" xfId="0" applyFont="1" applyBorder="1" applyAlignment="1">
      <alignment horizontal="left" vertical="center" wrapText="1"/>
    </xf>
    <xf numFmtId="9" fontId="6" fillId="3" borderId="20" xfId="5" applyFont="1" applyFill="1" applyBorder="1" applyAlignment="1">
      <alignment horizontal="center" vertical="center"/>
    </xf>
    <xf numFmtId="0" fontId="5" fillId="0" borderId="20" xfId="0" applyFont="1" applyBorder="1" applyAlignment="1">
      <alignment horizontal="left" vertical="center" wrapText="1" readingOrder="1"/>
    </xf>
    <xf numFmtId="49" fontId="17" fillId="0" borderId="20" xfId="3" applyNumberFormat="1" applyFont="1" applyBorder="1" applyAlignment="1">
      <alignment horizontal="center" vertical="center" wrapText="1"/>
    </xf>
    <xf numFmtId="0" fontId="5" fillId="0" borderId="20" xfId="0" applyFont="1" applyBorder="1" applyAlignment="1">
      <alignment vertical="center" wrapText="1" readingOrder="1"/>
    </xf>
    <xf numFmtId="3" fontId="10" fillId="0" borderId="20" xfId="1" applyNumberFormat="1" applyFont="1" applyFill="1" applyBorder="1" applyAlignment="1">
      <alignment vertical="center"/>
    </xf>
    <xf numFmtId="164" fontId="2" fillId="2" borderId="20" xfId="2" applyFont="1" applyFill="1" applyBorder="1" applyAlignment="1">
      <alignment horizontal="center" vertical="center" wrapText="1"/>
    </xf>
    <xf numFmtId="169" fontId="10" fillId="3" borderId="1" xfId="1" applyNumberFormat="1" applyFont="1" applyFill="1" applyBorder="1" applyAlignment="1">
      <alignment horizontal="center" vertical="center" wrapText="1" readingOrder="1"/>
    </xf>
    <xf numFmtId="168" fontId="10" fillId="3" borderId="20" xfId="8" applyNumberFormat="1" applyFont="1" applyFill="1" applyBorder="1" applyAlignment="1">
      <alignment horizontal="center" vertical="center" wrapText="1" readingOrder="1"/>
    </xf>
    <xf numFmtId="3" fontId="10" fillId="5" borderId="20" xfId="0" applyNumberFormat="1" applyFont="1" applyFill="1" applyBorder="1" applyAlignment="1">
      <alignment horizontal="center" vertical="center" wrapText="1" readingOrder="1"/>
    </xf>
    <xf numFmtId="0" fontId="16" fillId="2" borderId="1" xfId="0" applyFont="1" applyFill="1" applyBorder="1" applyAlignment="1">
      <alignment horizontal="left" wrapText="1" readingOrder="1"/>
    </xf>
    <xf numFmtId="3" fontId="16" fillId="2" borderId="1" xfId="2" applyNumberFormat="1" applyFont="1" applyFill="1" applyBorder="1" applyAlignment="1">
      <alignment horizontal="center" wrapText="1" readingOrder="1"/>
    </xf>
    <xf numFmtId="3" fontId="10" fillId="0" borderId="21" xfId="7" applyNumberFormat="1" applyFont="1" applyFill="1" applyBorder="1" applyAlignment="1">
      <alignment horizontal="center" vertical="center" readingOrder="1"/>
    </xf>
    <xf numFmtId="0" fontId="10" fillId="6" borderId="20" xfId="0" applyFont="1" applyFill="1" applyBorder="1" applyAlignment="1">
      <alignment vertical="center" wrapText="1" readingOrder="1"/>
    </xf>
    <xf numFmtId="167" fontId="14" fillId="2" borderId="5" xfId="0" applyNumberFormat="1" applyFont="1" applyFill="1" applyBorder="1" applyAlignment="1">
      <alignment horizontal="center" vertical="center" wrapText="1"/>
    </xf>
    <xf numFmtId="0" fontId="20" fillId="2" borderId="5" xfId="0" applyFont="1" applyFill="1" applyBorder="1" applyAlignment="1">
      <alignment horizontal="center" vertical="center" wrapText="1" readingOrder="1"/>
    </xf>
    <xf numFmtId="3" fontId="16" fillId="2" borderId="5" xfId="2" applyNumberFormat="1" applyFont="1" applyFill="1" applyBorder="1" applyAlignment="1">
      <alignment horizontal="center" vertical="center" wrapText="1" readingOrder="1"/>
    </xf>
    <xf numFmtId="169" fontId="10" fillId="3" borderId="1" xfId="8" applyNumberFormat="1" applyFont="1" applyFill="1" applyBorder="1" applyAlignment="1">
      <alignment horizontal="center" vertical="center" wrapText="1" readingOrder="1"/>
    </xf>
    <xf numFmtId="169" fontId="10" fillId="3" borderId="20" xfId="1" applyNumberFormat="1" applyFont="1" applyFill="1" applyBorder="1" applyAlignment="1">
      <alignment horizontal="center" vertical="center" wrapText="1" readingOrder="1"/>
    </xf>
    <xf numFmtId="3" fontId="10" fillId="3" borderId="21" xfId="0" applyNumberFormat="1" applyFont="1" applyFill="1" applyBorder="1" applyAlignment="1">
      <alignment horizontal="center" vertical="center" wrapText="1" readingOrder="1"/>
    </xf>
    <xf numFmtId="169" fontId="10" fillId="3" borderId="21" xfId="1" applyNumberFormat="1" applyFont="1" applyFill="1" applyBorder="1" applyAlignment="1">
      <alignment horizontal="center" vertical="center" wrapText="1" readingOrder="1"/>
    </xf>
    <xf numFmtId="3" fontId="10" fillId="3" borderId="20" xfId="1" applyNumberFormat="1" applyFont="1" applyFill="1" applyBorder="1" applyAlignment="1">
      <alignment vertical="center"/>
    </xf>
    <xf numFmtId="173" fontId="4" fillId="3" borderId="20" xfId="12" applyNumberFormat="1" applyFont="1" applyFill="1" applyBorder="1" applyAlignment="1">
      <alignment horizontal="right" vertical="center" wrapText="1"/>
    </xf>
    <xf numFmtId="3" fontId="6" fillId="0" borderId="20" xfId="0" applyNumberFormat="1" applyFont="1" applyBorder="1" applyAlignment="1">
      <alignment horizontal="right"/>
    </xf>
    <xf numFmtId="0" fontId="15" fillId="2" borderId="20" xfId="0" applyFont="1" applyFill="1" applyBorder="1" applyAlignment="1">
      <alignment horizontal="right" vertical="top"/>
    </xf>
    <xf numFmtId="0" fontId="0" fillId="0" borderId="0" xfId="0" applyAlignment="1">
      <alignment vertical="top"/>
    </xf>
    <xf numFmtId="0" fontId="0" fillId="3" borderId="0" xfId="0" applyFill="1" applyAlignment="1">
      <alignment horizontal="center" vertical="center"/>
    </xf>
    <xf numFmtId="3" fontId="10" fillId="3" borderId="4" xfId="0" applyNumberFormat="1" applyFont="1" applyFill="1" applyBorder="1" applyAlignment="1">
      <alignment horizontal="center" vertical="center" wrapText="1" readingOrder="1"/>
    </xf>
    <xf numFmtId="3" fontId="10" fillId="3" borderId="6" xfId="0" applyNumberFormat="1" applyFont="1" applyFill="1" applyBorder="1" applyAlignment="1">
      <alignment horizontal="right" vertical="center" wrapText="1" readingOrder="1"/>
    </xf>
    <xf numFmtId="3" fontId="18" fillId="0" borderId="0" xfId="0" applyNumberFormat="1" applyFont="1" applyAlignment="1">
      <alignment horizontal="right"/>
    </xf>
    <xf numFmtId="7" fontId="17" fillId="0" borderId="20" xfId="3" quotePrefix="1" applyNumberFormat="1" applyFont="1" applyBorder="1" applyAlignment="1">
      <alignment horizontal="center" vertical="center" wrapText="1"/>
    </xf>
    <xf numFmtId="7" fontId="17" fillId="0" borderId="20" xfId="3" applyNumberFormat="1" applyFont="1" applyBorder="1" applyAlignment="1">
      <alignment horizontal="center" vertical="center" wrapText="1"/>
    </xf>
    <xf numFmtId="0" fontId="6" fillId="3" borderId="0" xfId="0" applyFont="1" applyFill="1"/>
    <xf numFmtId="3" fontId="10" fillId="3" borderId="8" xfId="0" applyNumberFormat="1" applyFont="1" applyFill="1" applyBorder="1" applyAlignment="1">
      <alignment horizontal="right" vertical="center" wrapText="1" readingOrder="1"/>
    </xf>
    <xf numFmtId="3" fontId="10" fillId="3" borderId="4" xfId="0" applyNumberFormat="1" applyFont="1" applyFill="1" applyBorder="1" applyAlignment="1">
      <alignment horizontal="right" vertical="center" wrapText="1" readingOrder="1"/>
    </xf>
    <xf numFmtId="166" fontId="10" fillId="7" borderId="1" xfId="4" applyNumberFormat="1" applyFont="1" applyFill="1" applyBorder="1" applyAlignment="1">
      <alignment horizontal="right" vertical="center" wrapText="1"/>
    </xf>
    <xf numFmtId="3" fontId="6" fillId="0" borderId="20" xfId="0" applyNumberFormat="1" applyFont="1" applyBorder="1" applyAlignment="1">
      <alignment vertical="center" wrapText="1"/>
    </xf>
    <xf numFmtId="4" fontId="6" fillId="0" borderId="20" xfId="0" applyNumberFormat="1" applyFont="1" applyBorder="1" applyAlignment="1">
      <alignment vertical="center" wrapText="1"/>
    </xf>
    <xf numFmtId="3" fontId="10" fillId="0" borderId="20" xfId="0" applyNumberFormat="1" applyFont="1" applyBorder="1" applyAlignment="1">
      <alignment horizontal="right" vertical="center" wrapText="1" readingOrder="1"/>
    </xf>
    <xf numFmtId="3" fontId="6" fillId="3" borderId="20" xfId="0" applyNumberFormat="1" applyFont="1" applyFill="1" applyBorder="1" applyAlignment="1">
      <alignment vertical="center" wrapText="1"/>
    </xf>
    <xf numFmtId="4" fontId="6" fillId="3" borderId="20" xfId="0" applyNumberFormat="1" applyFont="1" applyFill="1" applyBorder="1" applyAlignment="1">
      <alignment vertical="center" wrapText="1"/>
    </xf>
    <xf numFmtId="171" fontId="4" fillId="3" borderId="20" xfId="12" applyNumberFormat="1" applyFont="1" applyFill="1" applyBorder="1" applyAlignment="1">
      <alignment horizontal="right" vertical="center" wrapText="1"/>
    </xf>
    <xf numFmtId="0" fontId="5" fillId="0" borderId="20" xfId="0" applyFont="1" applyBorder="1" applyAlignment="1">
      <alignment horizontal="left" vertical="top" wrapText="1"/>
    </xf>
    <xf numFmtId="0" fontId="5" fillId="0" borderId="20" xfId="0" applyFont="1" applyBorder="1" applyAlignment="1">
      <alignment horizontal="left" vertical="top" wrapText="1" readingOrder="1"/>
    </xf>
    <xf numFmtId="0" fontId="5" fillId="0" borderId="20" xfId="0" applyFont="1" applyBorder="1" applyAlignment="1">
      <alignment vertical="top" wrapText="1" readingOrder="1"/>
    </xf>
    <xf numFmtId="0" fontId="8" fillId="2" borderId="20" xfId="0" applyFont="1" applyFill="1" applyBorder="1" applyAlignment="1">
      <alignment horizontal="center" vertical="center" wrapText="1"/>
    </xf>
    <xf numFmtId="14" fontId="10" fillId="0" borderId="20" xfId="0" applyNumberFormat="1" applyFont="1" applyBorder="1" applyAlignment="1">
      <alignment horizontal="center" vertical="center" wrapText="1" readingOrder="1"/>
    </xf>
    <xf numFmtId="14" fontId="10" fillId="3" borderId="20" xfId="0" applyNumberFormat="1" applyFont="1" applyFill="1" applyBorder="1" applyAlignment="1">
      <alignment horizontal="center" vertical="center" wrapText="1" readingOrder="1"/>
    </xf>
    <xf numFmtId="3" fontId="10" fillId="3" borderId="29" xfId="0" applyNumberFormat="1" applyFont="1" applyFill="1" applyBorder="1" applyAlignment="1">
      <alignment horizontal="center" vertical="center" wrapText="1" readingOrder="1"/>
    </xf>
    <xf numFmtId="3" fontId="4" fillId="3" borderId="20" xfId="2" applyNumberFormat="1" applyFont="1" applyFill="1" applyBorder="1" applyAlignment="1">
      <alignment horizontal="right" vertical="center" wrapText="1"/>
    </xf>
    <xf numFmtId="3" fontId="10" fillId="3" borderId="20" xfId="2" applyNumberFormat="1" applyFont="1" applyFill="1" applyBorder="1" applyAlignment="1">
      <alignment horizontal="right" vertical="center" wrapText="1"/>
    </xf>
    <xf numFmtId="7" fontId="17" fillId="3" borderId="20" xfId="3" applyNumberFormat="1" applyFont="1" applyFill="1" applyBorder="1" applyAlignment="1">
      <alignment horizontal="center" vertical="center" wrapText="1"/>
    </xf>
    <xf numFmtId="0" fontId="5" fillId="3" borderId="20" xfId="0" applyFont="1" applyFill="1" applyBorder="1" applyAlignment="1">
      <alignment horizontal="left" vertical="center" wrapText="1" readingOrder="1"/>
    </xf>
    <xf numFmtId="0" fontId="5" fillId="3" borderId="20" xfId="0" applyFont="1" applyFill="1" applyBorder="1" applyAlignment="1">
      <alignment horizontal="left" vertical="top" wrapText="1"/>
    </xf>
    <xf numFmtId="3" fontId="10" fillId="3" borderId="8" xfId="0" applyNumberFormat="1" applyFont="1" applyFill="1" applyBorder="1" applyAlignment="1">
      <alignment horizontal="center" vertical="center" wrapText="1" readingOrder="1"/>
    </xf>
    <xf numFmtId="3" fontId="4" fillId="3" borderId="20" xfId="2" applyNumberFormat="1" applyFont="1" applyFill="1" applyBorder="1" applyAlignment="1">
      <alignment vertical="center" wrapText="1"/>
    </xf>
    <xf numFmtId="14" fontId="10" fillId="3" borderId="9" xfId="0" applyNumberFormat="1" applyFont="1" applyFill="1" applyBorder="1" applyAlignment="1">
      <alignment horizontal="center" vertical="center" wrapText="1" readingOrder="1"/>
    </xf>
    <xf numFmtId="174" fontId="2" fillId="2" borderId="20" xfId="1" applyNumberFormat="1" applyFont="1" applyFill="1" applyBorder="1" applyAlignment="1">
      <alignment horizontal="center" vertical="center" wrapText="1"/>
    </xf>
    <xf numFmtId="171" fontId="10" fillId="3" borderId="20" xfId="7" applyNumberFormat="1" applyFont="1" applyFill="1" applyBorder="1" applyAlignment="1">
      <alignment horizontal="right" vertical="center" wrapText="1" readingOrder="1"/>
    </xf>
    <xf numFmtId="0" fontId="16" fillId="3" borderId="0" xfId="0" applyFont="1" applyFill="1" applyAlignment="1">
      <alignment horizontal="left" vertical="center" wrapText="1" readingOrder="1"/>
    </xf>
    <xf numFmtId="3" fontId="16" fillId="3" borderId="0" xfId="2" applyNumberFormat="1" applyFont="1" applyFill="1" applyBorder="1" applyAlignment="1">
      <alignment horizontal="center" vertical="center" wrapText="1" readingOrder="1"/>
    </xf>
    <xf numFmtId="14" fontId="10" fillId="3" borderId="20" xfId="0" quotePrefix="1" applyNumberFormat="1" applyFont="1" applyFill="1" applyBorder="1" applyAlignment="1">
      <alignment horizontal="center" vertical="center" wrapText="1" readingOrder="1"/>
    </xf>
    <xf numFmtId="14" fontId="10" fillId="3" borderId="11" xfId="0" applyNumberFormat="1" applyFont="1" applyFill="1" applyBorder="1" applyAlignment="1">
      <alignment horizontal="center" vertical="center" wrapText="1" readingOrder="1"/>
    </xf>
    <xf numFmtId="167" fontId="14" fillId="2" borderId="1" xfId="0" applyNumberFormat="1" applyFont="1" applyFill="1" applyBorder="1" applyAlignment="1">
      <alignment horizontal="center" wrapText="1"/>
    </xf>
    <xf numFmtId="0" fontId="20" fillId="2" borderId="1" xfId="0" applyFont="1" applyFill="1" applyBorder="1" applyAlignment="1">
      <alignment horizontal="center" wrapText="1" readingOrder="1"/>
    </xf>
    <xf numFmtId="0" fontId="6" fillId="0" borderId="0" xfId="0" applyFont="1" applyAlignment="1">
      <alignment horizontal="center"/>
    </xf>
    <xf numFmtId="0" fontId="20" fillId="2" borderId="21" xfId="0" applyFont="1" applyFill="1" applyBorder="1" applyAlignment="1">
      <alignment horizontal="center" vertical="center" wrapText="1" readingOrder="1"/>
    </xf>
    <xf numFmtId="0" fontId="11" fillId="3" borderId="0" xfId="0" applyFont="1" applyFill="1"/>
    <xf numFmtId="0" fontId="11" fillId="3" borderId="0" xfId="0" applyFont="1" applyFill="1" applyAlignment="1">
      <alignment horizontal="center" vertical="center"/>
    </xf>
    <xf numFmtId="167" fontId="5" fillId="3" borderId="20" xfId="0" applyNumberFormat="1" applyFont="1" applyFill="1" applyBorder="1" applyAlignment="1">
      <alignment horizontal="left" vertical="center" wrapText="1"/>
    </xf>
    <xf numFmtId="3" fontId="10" fillId="6" borderId="20" xfId="7" applyNumberFormat="1" applyFont="1" applyFill="1" applyBorder="1" applyAlignment="1">
      <alignment horizontal="right" vertical="center" wrapText="1" readingOrder="1"/>
    </xf>
    <xf numFmtId="3" fontId="10" fillId="3" borderId="20" xfId="2" applyNumberFormat="1" applyFont="1" applyFill="1" applyBorder="1" applyAlignment="1">
      <alignment horizontal="right" vertical="center" wrapText="1" readingOrder="1"/>
    </xf>
    <xf numFmtId="171" fontId="5" fillId="3" borderId="20" xfId="7" applyNumberFormat="1" applyFont="1" applyFill="1" applyBorder="1" applyAlignment="1">
      <alignment horizontal="right" vertical="center" wrapText="1" readingOrder="1"/>
    </xf>
    <xf numFmtId="0" fontId="10" fillId="2" borderId="20" xfId="0" applyFont="1" applyFill="1" applyBorder="1" applyAlignment="1">
      <alignment horizontal="center" vertical="center" wrapText="1" readingOrder="1"/>
    </xf>
    <xf numFmtId="3" fontId="10" fillId="0" borderId="20" xfId="7" applyNumberFormat="1" applyFont="1" applyBorder="1" applyAlignment="1">
      <alignment horizontal="right" vertical="center" wrapText="1" readingOrder="1"/>
    </xf>
    <xf numFmtId="171" fontId="6" fillId="0" borderId="20" xfId="0" applyNumberFormat="1" applyFont="1" applyBorder="1" applyAlignment="1">
      <alignment horizontal="right" vertical="center"/>
    </xf>
    <xf numFmtId="0" fontId="10" fillId="0" borderId="0" xfId="0" applyFont="1" applyAlignment="1">
      <alignment horizontal="left" vertical="center" wrapText="1" readingOrder="1"/>
    </xf>
    <xf numFmtId="171" fontId="10" fillId="3" borderId="20" xfId="2" applyNumberFormat="1" applyFont="1" applyFill="1" applyBorder="1" applyAlignment="1">
      <alignment horizontal="right" vertical="center" wrapText="1" readingOrder="1"/>
    </xf>
    <xf numFmtId="3" fontId="10" fillId="3" borderId="20" xfId="2" applyNumberFormat="1" applyFont="1" applyFill="1" applyBorder="1" applyAlignment="1">
      <alignment horizontal="center" vertical="center" wrapText="1" readingOrder="1"/>
    </xf>
    <xf numFmtId="0" fontId="10" fillId="0" borderId="20" xfId="0" applyFont="1" applyBorder="1" applyAlignment="1">
      <alignment horizontal="center" vertical="center" wrapText="1" readingOrder="1"/>
    </xf>
    <xf numFmtId="0" fontId="10" fillId="3" borderId="21" xfId="0" applyFont="1" applyFill="1" applyBorder="1" applyAlignment="1">
      <alignment horizontal="center" vertical="center" wrapText="1" readingOrder="1"/>
    </xf>
    <xf numFmtId="0" fontId="10" fillId="0" borderId="0" xfId="0" applyFont="1" applyAlignment="1">
      <alignment horizontal="center" vertical="center" wrapText="1" readingOrder="1"/>
    </xf>
    <xf numFmtId="0" fontId="16" fillId="2" borderId="20" xfId="0" applyFont="1" applyFill="1" applyBorder="1" applyAlignment="1">
      <alignment horizontal="left" wrapText="1" readingOrder="1"/>
    </xf>
    <xf numFmtId="0" fontId="11" fillId="3" borderId="20" xfId="0" applyFont="1" applyFill="1" applyBorder="1" applyAlignment="1">
      <alignment horizontal="center" vertical="center"/>
    </xf>
    <xf numFmtId="3" fontId="10" fillId="6" borderId="20" xfId="7" applyNumberFormat="1" applyFont="1" applyFill="1" applyBorder="1" applyAlignment="1">
      <alignment horizontal="center" vertical="center" wrapText="1" readingOrder="1"/>
    </xf>
    <xf numFmtId="3" fontId="0" fillId="0" borderId="0" xfId="0" applyNumberFormat="1" applyAlignment="1">
      <alignment horizontal="center"/>
    </xf>
    <xf numFmtId="0" fontId="16" fillId="2" borderId="20" xfId="0" applyFont="1" applyFill="1" applyBorder="1" applyAlignment="1">
      <alignment horizontal="center" vertical="center" wrapText="1" readingOrder="1"/>
    </xf>
    <xf numFmtId="0" fontId="10" fillId="6" borderId="8" xfId="0" applyFont="1" applyFill="1" applyBorder="1" applyAlignment="1">
      <alignment horizontal="center" vertical="center" wrapText="1" readingOrder="1"/>
    </xf>
    <xf numFmtId="0" fontId="6" fillId="3" borderId="20" xfId="9" applyFont="1" applyFill="1" applyBorder="1" applyAlignment="1">
      <alignment horizontal="center" vertical="center" wrapText="1"/>
    </xf>
    <xf numFmtId="14" fontId="6" fillId="3" borderId="20" xfId="0" applyNumberFormat="1" applyFont="1" applyFill="1" applyBorder="1" applyAlignment="1">
      <alignment horizontal="center" vertical="center" wrapText="1"/>
    </xf>
    <xf numFmtId="14" fontId="10" fillId="0" borderId="30" xfId="0" applyNumberFormat="1" applyFont="1" applyBorder="1" applyAlignment="1">
      <alignment horizontal="center" vertical="center" wrapText="1" readingOrder="1"/>
    </xf>
    <xf numFmtId="175" fontId="17" fillId="2" borderId="20" xfId="3" applyNumberFormat="1" applyFont="1" applyFill="1" applyBorder="1" applyAlignment="1">
      <alignment horizontal="right" vertical="center" wrapText="1"/>
    </xf>
    <xf numFmtId="175" fontId="15" fillId="2" borderId="20" xfId="0" applyNumberFormat="1" applyFont="1" applyFill="1" applyBorder="1" applyAlignment="1">
      <alignment horizontal="right" vertical="center"/>
    </xf>
    <xf numFmtId="3" fontId="10" fillId="3" borderId="30" xfId="0" applyNumberFormat="1" applyFont="1" applyFill="1" applyBorder="1" applyAlignment="1">
      <alignment horizontal="center" vertical="center" wrapText="1" readingOrder="1"/>
    </xf>
    <xf numFmtId="3" fontId="6" fillId="0" borderId="0" xfId="0" applyNumberFormat="1" applyFont="1"/>
    <xf numFmtId="171" fontId="10" fillId="3" borderId="21" xfId="7" applyNumberFormat="1" applyFont="1" applyFill="1" applyBorder="1" applyAlignment="1">
      <alignment horizontal="right" vertical="center" wrapText="1" readingOrder="1"/>
    </xf>
    <xf numFmtId="167" fontId="14" fillId="2" borderId="21" xfId="0" applyNumberFormat="1" applyFont="1" applyFill="1" applyBorder="1" applyAlignment="1">
      <alignment horizontal="center" vertical="center" wrapText="1"/>
    </xf>
    <xf numFmtId="0" fontId="10" fillId="0" borderId="0" xfId="0" applyFont="1" applyAlignment="1">
      <alignment horizontal="left" vertical="center" readingOrder="1"/>
    </xf>
    <xf numFmtId="0" fontId="10" fillId="3" borderId="0" xfId="0" applyFont="1" applyFill="1" applyAlignment="1">
      <alignment horizontal="center" vertical="center" wrapText="1" readingOrder="1"/>
    </xf>
    <xf numFmtId="3" fontId="6" fillId="3" borderId="20" xfId="1" applyNumberFormat="1" applyFont="1" applyFill="1" applyBorder="1" applyAlignment="1">
      <alignment vertical="center"/>
    </xf>
    <xf numFmtId="171" fontId="10" fillId="6" borderId="20" xfId="0" applyNumberFormat="1" applyFont="1" applyFill="1" applyBorder="1" applyAlignment="1">
      <alignment horizontal="center" vertical="center" wrapText="1" readingOrder="1"/>
    </xf>
    <xf numFmtId="3" fontId="10" fillId="3" borderId="20" xfId="0" applyNumberFormat="1" applyFont="1" applyFill="1" applyBorder="1" applyAlignment="1">
      <alignment horizontal="right" vertical="center" wrapText="1" readingOrder="1"/>
    </xf>
    <xf numFmtId="3" fontId="6" fillId="3" borderId="20" xfId="5" applyNumberFormat="1" applyFont="1" applyFill="1" applyBorder="1" applyAlignment="1">
      <alignment horizontal="right" vertical="center"/>
    </xf>
    <xf numFmtId="164" fontId="2" fillId="2" borderId="20" xfId="1" applyFont="1" applyFill="1" applyBorder="1" applyAlignment="1">
      <alignment horizontal="center" vertical="center" wrapText="1"/>
    </xf>
    <xf numFmtId="164" fontId="0" fillId="3" borderId="0" xfId="1" applyFont="1" applyFill="1" applyAlignment="1">
      <alignment horizontal="right"/>
    </xf>
    <xf numFmtId="164" fontId="4" fillId="3" borderId="20" xfId="1" applyFont="1" applyFill="1" applyBorder="1" applyAlignment="1">
      <alignment horizontal="right" vertical="center" wrapText="1"/>
    </xf>
    <xf numFmtId="3" fontId="10" fillId="3" borderId="22" xfId="0" applyNumberFormat="1" applyFont="1" applyFill="1" applyBorder="1" applyAlignment="1">
      <alignment horizontal="right" vertical="center" wrapText="1" readingOrder="1"/>
    </xf>
    <xf numFmtId="0" fontId="5" fillId="3" borderId="1" xfId="0" applyFont="1" applyFill="1" applyBorder="1" applyAlignment="1">
      <alignment vertical="center" wrapText="1"/>
    </xf>
    <xf numFmtId="3" fontId="10" fillId="6" borderId="1" xfId="7" applyNumberFormat="1" applyFont="1" applyFill="1" applyBorder="1" applyAlignment="1">
      <alignment horizontal="right" vertical="center" wrapText="1" readingOrder="1"/>
    </xf>
    <xf numFmtId="166" fontId="10" fillId="7" borderId="1" xfId="4" applyNumberFormat="1" applyFont="1" applyFill="1" applyBorder="1" applyAlignment="1">
      <alignment horizontal="center" vertical="center" wrapText="1"/>
    </xf>
    <xf numFmtId="14" fontId="10" fillId="3" borderId="2" xfId="0" applyNumberFormat="1" applyFont="1" applyFill="1" applyBorder="1" applyAlignment="1">
      <alignment horizontal="center" vertical="center" wrapText="1" readingOrder="1"/>
    </xf>
    <xf numFmtId="3" fontId="10" fillId="3" borderId="1" xfId="0" applyNumberFormat="1" applyFont="1" applyFill="1" applyBorder="1" applyAlignment="1">
      <alignment horizontal="right" vertical="center"/>
    </xf>
    <xf numFmtId="166" fontId="10" fillId="7" borderId="20" xfId="4" applyNumberFormat="1" applyFont="1" applyFill="1" applyBorder="1" applyAlignment="1">
      <alignment horizontal="right" vertical="center" wrapText="1"/>
    </xf>
    <xf numFmtId="0" fontId="11" fillId="3" borderId="0" xfId="0" applyFont="1" applyFill="1" applyAlignment="1">
      <alignment vertical="center"/>
    </xf>
    <xf numFmtId="49" fontId="4" fillId="3" borderId="20" xfId="3" applyNumberFormat="1" applyFont="1" applyFill="1" applyBorder="1" applyAlignment="1">
      <alignment horizontal="center" wrapText="1"/>
    </xf>
    <xf numFmtId="3" fontId="10" fillId="3" borderId="4" xfId="0" applyNumberFormat="1" applyFont="1" applyFill="1" applyBorder="1" applyAlignment="1">
      <alignment vertical="center" wrapText="1" readingOrder="1"/>
    </xf>
    <xf numFmtId="3" fontId="10" fillId="3" borderId="20" xfId="7" applyNumberFormat="1" applyFont="1" applyFill="1" applyBorder="1" applyAlignment="1">
      <alignment horizontal="right" vertical="center" wrapText="1" readingOrder="1"/>
    </xf>
    <xf numFmtId="0" fontId="10" fillId="3" borderId="9" xfId="0" applyFont="1" applyFill="1" applyBorder="1" applyAlignment="1">
      <alignment horizontal="center" vertical="center" wrapText="1" readingOrder="1"/>
    </xf>
    <xf numFmtId="3" fontId="10" fillId="3" borderId="9" xfId="0" applyNumberFormat="1" applyFont="1" applyFill="1" applyBorder="1" applyAlignment="1">
      <alignment vertical="center" wrapText="1" readingOrder="1"/>
    </xf>
    <xf numFmtId="3" fontId="10" fillId="3" borderId="27" xfId="0" applyNumberFormat="1" applyFont="1" applyFill="1" applyBorder="1" applyAlignment="1">
      <alignment horizontal="center" vertical="center" wrapText="1" readingOrder="1"/>
    </xf>
    <xf numFmtId="3" fontId="10" fillId="3" borderId="20" xfId="0" applyNumberFormat="1" applyFont="1" applyFill="1" applyBorder="1" applyAlignment="1">
      <alignment vertical="center" wrapText="1" readingOrder="1"/>
    </xf>
    <xf numFmtId="3" fontId="4" fillId="8" borderId="20" xfId="0" applyNumberFormat="1" applyFont="1" applyFill="1" applyBorder="1" applyAlignment="1">
      <alignment horizontal="center" vertical="center"/>
    </xf>
    <xf numFmtId="3" fontId="10" fillId="6" borderId="20" xfId="0" applyNumberFormat="1" applyFont="1" applyFill="1" applyBorder="1" applyAlignment="1">
      <alignment horizontal="center" vertical="center" wrapText="1" readingOrder="1"/>
    </xf>
    <xf numFmtId="14" fontId="6" fillId="3" borderId="20" xfId="0" applyNumberFormat="1" applyFont="1" applyFill="1" applyBorder="1" applyAlignment="1">
      <alignment horizontal="center" vertical="center"/>
    </xf>
    <xf numFmtId="3" fontId="10" fillId="3" borderId="16" xfId="0" applyNumberFormat="1" applyFont="1" applyFill="1" applyBorder="1" applyAlignment="1">
      <alignment horizontal="right" vertical="center" wrapText="1" readingOrder="1"/>
    </xf>
    <xf numFmtId="3" fontId="10" fillId="3" borderId="16" xfId="0" applyNumberFormat="1" applyFont="1" applyFill="1" applyBorder="1" applyAlignment="1">
      <alignment horizontal="center" vertical="center" wrapText="1" readingOrder="1"/>
    </xf>
    <xf numFmtId="0" fontId="35" fillId="0" borderId="0" xfId="0" applyFont="1" applyAlignment="1">
      <alignment horizontal="right"/>
    </xf>
    <xf numFmtId="0" fontId="32" fillId="3" borderId="20" xfId="0" applyFont="1" applyFill="1" applyBorder="1" applyAlignment="1">
      <alignment horizontal="left" vertical="center" wrapText="1"/>
    </xf>
    <xf numFmtId="164" fontId="0" fillId="0" borderId="0" xfId="1" applyFont="1"/>
    <xf numFmtId="164" fontId="0" fillId="3" borderId="0" xfId="1" applyFont="1" applyFill="1"/>
    <xf numFmtId="3" fontId="16" fillId="5" borderId="20" xfId="1" applyNumberFormat="1" applyFont="1" applyFill="1" applyBorder="1" applyAlignment="1">
      <alignment horizontal="right" vertical="center" wrapText="1"/>
    </xf>
    <xf numFmtId="0" fontId="10" fillId="6" borderId="20" xfId="0" applyFont="1" applyFill="1" applyBorder="1" applyAlignment="1">
      <alignment horizontal="center" vertical="center" wrapText="1" readingOrder="1"/>
    </xf>
    <xf numFmtId="3" fontId="10" fillId="0" borderId="20" xfId="0" applyNumberFormat="1" applyFont="1" applyBorder="1" applyAlignment="1">
      <alignment horizontal="center" vertical="center" wrapText="1" readingOrder="1"/>
    </xf>
    <xf numFmtId="0" fontId="6" fillId="3" borderId="0" xfId="0" applyFont="1" applyFill="1" applyAlignment="1">
      <alignment horizontal="left" wrapText="1"/>
    </xf>
    <xf numFmtId="0" fontId="10" fillId="3" borderId="8" xfId="0" applyFont="1" applyFill="1" applyBorder="1" applyAlignment="1">
      <alignment horizontal="center" vertical="center" wrapText="1" readingOrder="1"/>
    </xf>
    <xf numFmtId="0" fontId="10" fillId="3" borderId="26" xfId="0" applyFont="1" applyFill="1" applyBorder="1" applyAlignment="1">
      <alignment horizontal="center" vertical="center" wrapText="1" readingOrder="1"/>
    </xf>
    <xf numFmtId="171" fontId="4" fillId="0" borderId="20" xfId="12" applyNumberFormat="1" applyFont="1" applyBorder="1" applyAlignment="1">
      <alignment horizontal="right" vertical="center" wrapText="1"/>
    </xf>
    <xf numFmtId="0" fontId="28" fillId="0" borderId="0" xfId="0" applyFont="1" applyAlignment="1">
      <alignment vertical="center" wrapText="1"/>
    </xf>
    <xf numFmtId="9" fontId="6" fillId="0" borderId="20" xfId="5" applyFont="1" applyFill="1" applyBorder="1" applyAlignment="1">
      <alignment horizontal="center" vertical="center"/>
    </xf>
    <xf numFmtId="3" fontId="10" fillId="0" borderId="20" xfId="2" applyNumberFormat="1" applyFont="1" applyFill="1" applyBorder="1" applyAlignment="1">
      <alignment horizontal="right" vertical="center" wrapText="1"/>
    </xf>
    <xf numFmtId="0" fontId="2" fillId="2" borderId="20" xfId="0" applyFont="1" applyFill="1" applyBorder="1" applyAlignment="1">
      <alignment horizontal="center" vertical="center" wrapText="1"/>
    </xf>
    <xf numFmtId="4" fontId="0" fillId="3" borderId="0" xfId="0" applyNumberFormat="1" applyFill="1"/>
    <xf numFmtId="169" fontId="10" fillId="3" borderId="20" xfId="7" applyNumberFormat="1" applyFont="1" applyFill="1" applyBorder="1" applyAlignment="1">
      <alignment horizontal="right" vertical="center" wrapText="1" readingOrder="1"/>
    </xf>
    <xf numFmtId="169" fontId="18" fillId="0" borderId="0" xfId="0" applyNumberFormat="1" applyFont="1" applyAlignment="1">
      <alignment horizontal="right"/>
    </xf>
    <xf numFmtId="169" fontId="18" fillId="0" borderId="0" xfId="0" applyNumberFormat="1" applyFont="1"/>
    <xf numFmtId="3" fontId="0" fillId="3" borderId="0" xfId="0" applyNumberFormat="1" applyFill="1"/>
    <xf numFmtId="0" fontId="6" fillId="3" borderId="0" xfId="0" applyFont="1" applyFill="1" applyAlignment="1">
      <alignment horizontal="right"/>
    </xf>
    <xf numFmtId="0" fontId="28" fillId="3" borderId="0" xfId="0" applyFont="1" applyFill="1" applyAlignment="1">
      <alignment vertical="center" wrapText="1"/>
    </xf>
    <xf numFmtId="0" fontId="0" fillId="3" borderId="0" xfId="0" applyFill="1" applyAlignment="1">
      <alignment vertical="top"/>
    </xf>
    <xf numFmtId="0" fontId="18" fillId="3" borderId="0" xfId="0" applyFont="1" applyFill="1"/>
    <xf numFmtId="175" fontId="6" fillId="3" borderId="0" xfId="0" applyNumberFormat="1" applyFont="1" applyFill="1" applyAlignment="1">
      <alignment horizontal="right"/>
    </xf>
    <xf numFmtId="0" fontId="0" fillId="3" borderId="0" xfId="0" applyFill="1" applyAlignment="1">
      <alignment wrapText="1"/>
    </xf>
    <xf numFmtId="169" fontId="10" fillId="6" borderId="20" xfId="1" applyNumberFormat="1" applyFont="1" applyFill="1" applyBorder="1" applyAlignment="1">
      <alignment vertical="center" wrapText="1" readingOrder="1"/>
    </xf>
    <xf numFmtId="169" fontId="10" fillId="6" borderId="20" xfId="1" applyNumberFormat="1" applyFont="1" applyFill="1" applyBorder="1" applyAlignment="1">
      <alignment horizontal="center" vertical="center" wrapText="1" readingOrder="1"/>
    </xf>
    <xf numFmtId="0" fontId="20" fillId="2" borderId="20" xfId="0" applyFont="1" applyFill="1" applyBorder="1" applyAlignment="1">
      <alignment horizontal="center" vertical="center" wrapText="1" readingOrder="1"/>
    </xf>
    <xf numFmtId="0" fontId="10" fillId="0" borderId="0" xfId="0" applyFont="1" applyAlignment="1">
      <alignment vertical="center" readingOrder="1"/>
    </xf>
    <xf numFmtId="166" fontId="10" fillId="7" borderId="4" xfId="4" applyNumberFormat="1" applyFont="1" applyFill="1" applyBorder="1" applyAlignment="1">
      <alignment horizontal="right" vertical="center" wrapText="1"/>
    </xf>
    <xf numFmtId="168" fontId="5" fillId="3" borderId="20" xfId="8" applyNumberFormat="1" applyFont="1" applyFill="1" applyBorder="1" applyAlignment="1">
      <alignment horizontal="center" vertical="center" wrapText="1"/>
    </xf>
    <xf numFmtId="168" fontId="10" fillId="3" borderId="20" xfId="8" applyNumberFormat="1" applyFont="1" applyFill="1" applyBorder="1" applyAlignment="1">
      <alignment horizontal="center" vertical="center" wrapText="1"/>
    </xf>
    <xf numFmtId="168" fontId="10" fillId="3" borderId="20" xfId="8" applyNumberFormat="1" applyFont="1" applyFill="1" applyBorder="1" applyAlignment="1">
      <alignment vertical="center" wrapText="1"/>
    </xf>
    <xf numFmtId="167" fontId="10" fillId="3" borderId="20" xfId="7" applyNumberFormat="1" applyFont="1" applyFill="1" applyBorder="1" applyAlignment="1">
      <alignment horizontal="center" vertical="center"/>
    </xf>
    <xf numFmtId="0" fontId="10" fillId="3" borderId="20" xfId="0" applyFont="1" applyFill="1" applyBorder="1" applyAlignment="1">
      <alignment horizontal="center" vertical="center"/>
    </xf>
    <xf numFmtId="49" fontId="5" fillId="3" borderId="0" xfId="1" applyNumberFormat="1" applyFont="1" applyFill="1" applyBorder="1" applyAlignment="1">
      <alignment horizontal="center" vertical="center"/>
    </xf>
    <xf numFmtId="167" fontId="14" fillId="2" borderId="20" xfId="0" applyNumberFormat="1" applyFont="1" applyFill="1" applyBorder="1" applyAlignment="1">
      <alignment horizontal="center" vertical="center" wrapText="1"/>
    </xf>
    <xf numFmtId="166" fontId="10" fillId="7" borderId="20" xfId="4" applyNumberFormat="1" applyFont="1" applyFill="1" applyBorder="1" applyAlignment="1">
      <alignment horizontal="center" vertical="center" wrapText="1"/>
    </xf>
    <xf numFmtId="0" fontId="51" fillId="0" borderId="0" xfId="0" applyFont="1"/>
    <xf numFmtId="3" fontId="10" fillId="3" borderId="9" xfId="0" applyNumberFormat="1" applyFont="1" applyFill="1" applyBorder="1" applyAlignment="1">
      <alignment horizontal="center" vertical="center" wrapText="1" readingOrder="1"/>
    </xf>
    <xf numFmtId="3" fontId="10" fillId="3" borderId="29" xfId="0" applyNumberFormat="1" applyFont="1" applyFill="1" applyBorder="1" applyAlignment="1">
      <alignment horizontal="right" vertical="center" wrapText="1" readingOrder="1"/>
    </xf>
    <xf numFmtId="3" fontId="10" fillId="0" borderId="47" xfId="0" applyNumberFormat="1" applyFont="1" applyBorder="1" applyAlignment="1">
      <alignment horizontal="center" vertical="center" wrapText="1" readingOrder="1"/>
    </xf>
    <xf numFmtId="0" fontId="10" fillId="6" borderId="20" xfId="0" quotePrefix="1" applyFont="1" applyFill="1" applyBorder="1" applyAlignment="1">
      <alignment horizontal="center" vertical="center" wrapText="1" readingOrder="1"/>
    </xf>
    <xf numFmtId="3" fontId="10" fillId="0" borderId="27" xfId="0" applyNumberFormat="1" applyFont="1" applyBorder="1" applyAlignment="1">
      <alignment horizontal="center" vertical="center" wrapText="1" readingOrder="1"/>
    </xf>
    <xf numFmtId="3" fontId="10" fillId="3" borderId="5" xfId="0" applyNumberFormat="1" applyFont="1" applyFill="1" applyBorder="1" applyAlignment="1">
      <alignment horizontal="center" vertical="center" wrapText="1" readingOrder="1"/>
    </xf>
    <xf numFmtId="3" fontId="6" fillId="3" borderId="21" xfId="0" applyNumberFormat="1" applyFont="1" applyFill="1" applyBorder="1" applyAlignment="1">
      <alignment vertical="center" wrapText="1"/>
    </xf>
    <xf numFmtId="166" fontId="10" fillId="7" borderId="4" xfId="4" applyNumberFormat="1" applyFont="1" applyFill="1" applyBorder="1" applyAlignment="1">
      <alignment horizontal="center" vertical="center" wrapText="1"/>
    </xf>
    <xf numFmtId="169" fontId="15" fillId="2" borderId="20" xfId="1" applyNumberFormat="1" applyFont="1" applyFill="1" applyBorder="1" applyAlignment="1">
      <alignment horizontal="right" vertical="center"/>
    </xf>
    <xf numFmtId="0" fontId="15" fillId="0" borderId="0" xfId="0" applyFont="1"/>
    <xf numFmtId="172" fontId="6" fillId="3" borderId="20" xfId="5" applyNumberFormat="1" applyFont="1" applyFill="1" applyBorder="1" applyAlignment="1">
      <alignment horizontal="center" vertical="center"/>
    </xf>
    <xf numFmtId="4" fontId="0" fillId="0" borderId="0" xfId="0" applyNumberFormat="1"/>
    <xf numFmtId="0" fontId="32" fillId="3" borderId="0" xfId="0" applyFont="1" applyFill="1" applyAlignment="1">
      <alignment horizontal="center" vertical="center" wrapText="1"/>
    </xf>
    <xf numFmtId="0" fontId="32" fillId="3" borderId="0" xfId="0" applyFont="1" applyFill="1" applyAlignment="1">
      <alignment horizontal="left" vertical="center" wrapText="1"/>
    </xf>
    <xf numFmtId="14" fontId="32" fillId="3" borderId="0" xfId="0" applyNumberFormat="1" applyFont="1" applyFill="1" applyAlignment="1">
      <alignment horizontal="center" vertical="center" wrapText="1"/>
    </xf>
    <xf numFmtId="164" fontId="22" fillId="8" borderId="0" xfId="1" applyFont="1" applyFill="1" applyBorder="1" applyAlignment="1">
      <alignment horizontal="center" vertical="center"/>
    </xf>
    <xf numFmtId="0" fontId="6" fillId="3" borderId="20" xfId="0" applyFont="1" applyFill="1" applyBorder="1" applyAlignment="1">
      <alignment horizontal="left" vertical="center" wrapText="1"/>
    </xf>
    <xf numFmtId="0" fontId="6" fillId="3" borderId="20" xfId="0" applyFont="1" applyFill="1" applyBorder="1" applyAlignment="1">
      <alignment horizontal="left" vertical="top" wrapText="1"/>
    </xf>
    <xf numFmtId="0" fontId="10" fillId="6" borderId="1" xfId="0" applyFont="1" applyFill="1" applyBorder="1" applyAlignment="1">
      <alignment horizontal="left" vertical="top" wrapText="1" readingOrder="1"/>
    </xf>
    <xf numFmtId="0" fontId="10" fillId="6" borderId="20" xfId="0" applyFont="1" applyFill="1" applyBorder="1" applyAlignment="1">
      <alignment horizontal="left" vertical="top" wrapText="1" readingOrder="1"/>
    </xf>
    <xf numFmtId="0" fontId="10" fillId="3" borderId="1" xfId="0" applyFont="1" applyFill="1" applyBorder="1" applyAlignment="1">
      <alignment horizontal="left" vertical="top" wrapText="1" readingOrder="1"/>
    </xf>
    <xf numFmtId="0" fontId="10" fillId="3" borderId="20" xfId="0" applyFont="1" applyFill="1" applyBorder="1" applyAlignment="1">
      <alignment horizontal="left" vertical="top" wrapText="1" readingOrder="1"/>
    </xf>
    <xf numFmtId="3" fontId="6" fillId="0" borderId="20" xfId="0" applyNumberFormat="1" applyFont="1" applyBorder="1" applyAlignment="1">
      <alignment horizontal="right" vertical="center"/>
    </xf>
    <xf numFmtId="168" fontId="10" fillId="6" borderId="20" xfId="8" applyNumberFormat="1" applyFont="1" applyFill="1" applyBorder="1" applyAlignment="1">
      <alignment horizontal="center" vertical="center" wrapText="1"/>
    </xf>
    <xf numFmtId="168" fontId="10" fillId="6" borderId="20" xfId="8" applyNumberFormat="1" applyFont="1" applyFill="1" applyBorder="1" applyAlignment="1">
      <alignment horizontal="center" vertical="center" wrapText="1" readingOrder="1"/>
    </xf>
    <xf numFmtId="171" fontId="10" fillId="6" borderId="21" xfId="7" applyNumberFormat="1" applyFont="1" applyFill="1" applyBorder="1" applyAlignment="1">
      <alignment horizontal="right" vertical="center" wrapText="1" readingOrder="1"/>
    </xf>
    <xf numFmtId="3" fontId="10" fillId="0" borderId="20" xfId="0" applyNumberFormat="1" applyFont="1" applyBorder="1" applyAlignment="1">
      <alignment vertical="center" wrapText="1"/>
    </xf>
    <xf numFmtId="3" fontId="10" fillId="6" borderId="20" xfId="1" applyNumberFormat="1" applyFont="1" applyFill="1" applyBorder="1" applyAlignment="1">
      <alignment horizontal="right" vertical="center" wrapText="1"/>
    </xf>
    <xf numFmtId="3" fontId="4" fillId="3" borderId="21" xfId="2" applyNumberFormat="1" applyFont="1" applyFill="1" applyBorder="1" applyAlignment="1">
      <alignment vertical="center" wrapText="1"/>
    </xf>
    <xf numFmtId="164" fontId="6" fillId="3" borderId="0" xfId="1" applyFont="1" applyFill="1"/>
    <xf numFmtId="177" fontId="0" fillId="0" borderId="0" xfId="0" applyNumberFormat="1"/>
    <xf numFmtId="0" fontId="2" fillId="2" borderId="13" xfId="0" applyFont="1" applyFill="1" applyBorder="1" applyAlignment="1">
      <alignment horizontal="center" vertical="center" wrapText="1"/>
    </xf>
    <xf numFmtId="164" fontId="2" fillId="2" borderId="13" xfId="1" applyFont="1" applyFill="1" applyBorder="1" applyAlignment="1">
      <alignment horizontal="center" vertical="center" wrapText="1"/>
    </xf>
    <xf numFmtId="164" fontId="2" fillId="2" borderId="18" xfId="1" applyFont="1" applyFill="1" applyBorder="1" applyAlignment="1">
      <alignment horizontal="center" vertical="center" wrapText="1"/>
    </xf>
    <xf numFmtId="164" fontId="2" fillId="2" borderId="20" xfId="1" applyFont="1" applyFill="1" applyBorder="1" applyAlignment="1">
      <alignment vertical="center" wrapText="1"/>
    </xf>
    <xf numFmtId="174" fontId="2" fillId="2" borderId="13" xfId="1" applyNumberFormat="1" applyFont="1" applyFill="1" applyBorder="1" applyAlignment="1">
      <alignment horizontal="center" vertical="center" wrapText="1"/>
    </xf>
    <xf numFmtId="9" fontId="6" fillId="3" borderId="20" xfId="5" applyFont="1" applyFill="1" applyBorder="1" applyAlignment="1">
      <alignment vertical="center" wrapText="1"/>
    </xf>
    <xf numFmtId="9" fontId="15" fillId="2" borderId="20" xfId="5" applyFont="1" applyFill="1" applyBorder="1" applyAlignment="1">
      <alignment horizontal="right" vertical="center"/>
    </xf>
    <xf numFmtId="164" fontId="6" fillId="3" borderId="20" xfId="1" applyFont="1" applyFill="1" applyBorder="1" applyAlignment="1">
      <alignment horizontal="center" vertical="center"/>
    </xf>
    <xf numFmtId="3" fontId="6" fillId="3" borderId="20" xfId="1" applyNumberFormat="1" applyFont="1" applyFill="1" applyBorder="1" applyAlignment="1">
      <alignment horizontal="right" vertical="center"/>
    </xf>
    <xf numFmtId="169" fontId="4" fillId="3" borderId="20" xfId="1" applyNumberFormat="1" applyFont="1" applyFill="1" applyBorder="1" applyAlignment="1">
      <alignment horizontal="right" vertical="center" wrapText="1"/>
    </xf>
    <xf numFmtId="0" fontId="6" fillId="3" borderId="20" xfId="0" applyFont="1" applyFill="1" applyBorder="1" applyAlignment="1">
      <alignment horizontal="center" vertical="center" wrapText="1"/>
    </xf>
    <xf numFmtId="14" fontId="10" fillId="3" borderId="20" xfId="0" applyNumberFormat="1" applyFont="1" applyFill="1" applyBorder="1" applyAlignment="1">
      <alignment horizontal="center" vertical="center"/>
    </xf>
    <xf numFmtId="168" fontId="6" fillId="3" borderId="0" xfId="0" applyNumberFormat="1" applyFont="1" applyFill="1"/>
    <xf numFmtId="0" fontId="10" fillId="3" borderId="37" xfId="0" applyFont="1" applyFill="1" applyBorder="1" applyAlignment="1">
      <alignment horizontal="center" vertical="center" wrapText="1" readingOrder="1"/>
    </xf>
    <xf numFmtId="167" fontId="10" fillId="3" borderId="1" xfId="7" applyNumberFormat="1" applyFont="1" applyFill="1" applyBorder="1" applyAlignment="1">
      <alignment horizontal="right" vertical="center" wrapText="1" readingOrder="1"/>
    </xf>
    <xf numFmtId="3" fontId="6" fillId="3" borderId="20" xfId="0" applyNumberFormat="1" applyFont="1" applyFill="1" applyBorder="1" applyAlignment="1">
      <alignment horizontal="right"/>
    </xf>
    <xf numFmtId="169" fontId="6" fillId="3" borderId="20" xfId="1" applyNumberFormat="1" applyFont="1" applyFill="1" applyBorder="1" applyAlignment="1">
      <alignment horizontal="right" vertical="center"/>
    </xf>
    <xf numFmtId="169" fontId="6" fillId="3" borderId="20" xfId="1" applyNumberFormat="1" applyFont="1" applyFill="1" applyBorder="1" applyAlignment="1">
      <alignment horizontal="center" vertical="center"/>
    </xf>
    <xf numFmtId="0" fontId="30" fillId="3" borderId="0" xfId="0" applyFont="1" applyFill="1" applyAlignment="1">
      <alignment horizontal="left" vertical="center"/>
    </xf>
    <xf numFmtId="3" fontId="4" fillId="3" borderId="20" xfId="12" applyNumberFormat="1" applyFont="1" applyFill="1" applyBorder="1" applyAlignment="1">
      <alignment horizontal="right" vertical="center" wrapText="1"/>
    </xf>
    <xf numFmtId="3" fontId="6" fillId="3" borderId="20" xfId="0" applyNumberFormat="1" applyFont="1" applyFill="1" applyBorder="1" applyAlignment="1">
      <alignment horizontal="right" vertical="center"/>
    </xf>
    <xf numFmtId="171" fontId="10" fillId="6" borderId="21" xfId="0" applyNumberFormat="1" applyFont="1" applyFill="1" applyBorder="1" applyAlignment="1">
      <alignment horizontal="center" vertical="center" wrapText="1" readingOrder="1"/>
    </xf>
    <xf numFmtId="169" fontId="0" fillId="0" borderId="0" xfId="1" applyNumberFormat="1" applyFont="1" applyAlignment="1">
      <alignment horizontal="right"/>
    </xf>
    <xf numFmtId="3" fontId="10" fillId="3" borderId="20" xfId="1" applyNumberFormat="1" applyFont="1" applyFill="1" applyBorder="1" applyAlignment="1">
      <alignment horizontal="right" vertical="center"/>
    </xf>
    <xf numFmtId="3" fontId="10" fillId="3" borderId="20" xfId="0" applyNumberFormat="1" applyFont="1" applyFill="1" applyBorder="1" applyAlignment="1">
      <alignment horizontal="right" vertical="center"/>
    </xf>
    <xf numFmtId="0" fontId="0" fillId="3" borderId="0" xfId="0" applyFill="1" applyAlignment="1">
      <alignment horizontal="center"/>
    </xf>
    <xf numFmtId="169" fontId="0" fillId="3" borderId="0" xfId="0" applyNumberFormat="1" applyFill="1"/>
    <xf numFmtId="169" fontId="6" fillId="0" borderId="20" xfId="1" applyNumberFormat="1" applyFont="1" applyFill="1" applyBorder="1" applyAlignment="1">
      <alignment horizontal="center" vertical="center"/>
    </xf>
    <xf numFmtId="169" fontId="15" fillId="2" borderId="20" xfId="1" applyNumberFormat="1" applyFont="1" applyFill="1" applyBorder="1" applyAlignment="1">
      <alignment vertical="center"/>
    </xf>
    <xf numFmtId="3" fontId="10" fillId="3" borderId="20" xfId="0" applyNumberFormat="1" applyFont="1" applyFill="1" applyBorder="1" applyAlignment="1">
      <alignment horizontal="center" vertical="center"/>
    </xf>
    <xf numFmtId="3" fontId="6" fillId="3" borderId="20" xfId="14" applyNumberFormat="1" applyFont="1" applyFill="1" applyBorder="1" applyAlignment="1">
      <alignment vertical="center"/>
    </xf>
    <xf numFmtId="171" fontId="6" fillId="3" borderId="20" xfId="14" applyNumberFormat="1" applyFont="1" applyFill="1" applyBorder="1" applyAlignment="1">
      <alignment horizontal="right" vertical="center"/>
    </xf>
    <xf numFmtId="7" fontId="17" fillId="3" borderId="20" xfId="3" quotePrefix="1" applyNumberFormat="1" applyFont="1" applyFill="1" applyBorder="1" applyAlignment="1">
      <alignment horizontal="center" vertical="center" wrapText="1"/>
    </xf>
    <xf numFmtId="9" fontId="6" fillId="0" borderId="21" xfId="5" applyFont="1" applyFill="1" applyBorder="1" applyAlignment="1">
      <alignment vertical="center" wrapText="1"/>
    </xf>
    <xf numFmtId="3" fontId="10" fillId="3" borderId="0" xfId="0" applyNumberFormat="1" applyFont="1" applyFill="1" applyAlignment="1">
      <alignment horizontal="center" vertical="center" wrapText="1" readingOrder="1"/>
    </xf>
    <xf numFmtId="167" fontId="10" fillId="3" borderId="20" xfId="0" applyNumberFormat="1" applyFont="1" applyFill="1" applyBorder="1" applyAlignment="1">
      <alignment horizontal="center" vertical="center" wrapText="1"/>
    </xf>
    <xf numFmtId="49" fontId="4" fillId="3" borderId="20" xfId="3" applyNumberFormat="1" applyFont="1" applyFill="1" applyBorder="1" applyAlignment="1">
      <alignment horizontal="center" vertical="center" wrapText="1"/>
    </xf>
    <xf numFmtId="0" fontId="5" fillId="3" borderId="20" xfId="0" applyFont="1" applyFill="1" applyBorder="1" applyAlignment="1">
      <alignment horizontal="left" vertical="center" wrapText="1"/>
    </xf>
    <xf numFmtId="0" fontId="10" fillId="6" borderId="21" xfId="0" applyFont="1" applyFill="1" applyBorder="1" applyAlignment="1">
      <alignment horizontal="center" vertical="center" wrapText="1" readingOrder="1"/>
    </xf>
    <xf numFmtId="3" fontId="10" fillId="3" borderId="11" xfId="0" applyNumberFormat="1" applyFont="1" applyFill="1" applyBorder="1" applyAlignment="1">
      <alignment horizontal="right" vertical="center" wrapText="1" readingOrder="1"/>
    </xf>
    <xf numFmtId="3" fontId="5" fillId="3" borderId="20" xfId="0" applyNumberFormat="1" applyFont="1" applyFill="1" applyBorder="1" applyAlignment="1">
      <alignment horizontal="right" vertical="center"/>
    </xf>
    <xf numFmtId="167" fontId="10" fillId="3" borderId="20" xfId="1" applyNumberFormat="1" applyFont="1" applyFill="1" applyBorder="1" applyAlignment="1">
      <alignment horizontal="right" vertical="center" wrapText="1" readingOrder="1"/>
    </xf>
    <xf numFmtId="49" fontId="10" fillId="3" borderId="20" xfId="0" quotePrefix="1" applyNumberFormat="1" applyFont="1" applyFill="1" applyBorder="1" applyAlignment="1">
      <alignment horizontal="center" vertical="center" readingOrder="1"/>
    </xf>
    <xf numFmtId="49" fontId="10" fillId="3" borderId="20" xfId="0" quotePrefix="1" applyNumberFormat="1" applyFont="1" applyFill="1" applyBorder="1" applyAlignment="1">
      <alignment horizontal="right" vertical="center" readingOrder="1"/>
    </xf>
    <xf numFmtId="14" fontId="4" fillId="3" borderId="20" xfId="0" applyNumberFormat="1" applyFont="1" applyFill="1" applyBorder="1" applyAlignment="1">
      <alignment horizontal="center" vertical="center" wrapText="1"/>
    </xf>
    <xf numFmtId="0" fontId="6" fillId="3" borderId="20" xfId="0" applyFont="1" applyFill="1" applyBorder="1" applyAlignment="1">
      <alignment horizontal="left" wrapText="1"/>
    </xf>
    <xf numFmtId="167" fontId="10" fillId="3" borderId="1" xfId="7" applyNumberFormat="1" applyFont="1" applyFill="1" applyBorder="1" applyAlignment="1">
      <alignment horizontal="right" vertical="center"/>
    </xf>
    <xf numFmtId="170" fontId="10" fillId="3" borderId="20" xfId="7" applyFont="1" applyFill="1" applyBorder="1" applyAlignment="1">
      <alignment horizontal="right" vertical="center"/>
    </xf>
    <xf numFmtId="14" fontId="10" fillId="3" borderId="8" xfId="0" applyNumberFormat="1" applyFont="1" applyFill="1" applyBorder="1" applyAlignment="1">
      <alignment horizontal="center" vertical="center" wrapText="1" readingOrder="1"/>
    </xf>
    <xf numFmtId="171" fontId="10" fillId="6" borderId="1" xfId="7" applyNumberFormat="1" applyFont="1" applyFill="1" applyBorder="1" applyAlignment="1">
      <alignment horizontal="right" vertical="center" wrapText="1" readingOrder="1"/>
    </xf>
    <xf numFmtId="171" fontId="10" fillId="6" borderId="20" xfId="7" applyNumberFormat="1" applyFont="1" applyFill="1" applyBorder="1" applyAlignment="1">
      <alignment horizontal="right" vertical="center" wrapText="1" readingOrder="1"/>
    </xf>
    <xf numFmtId="3" fontId="10" fillId="3" borderId="1" xfId="0" applyNumberFormat="1" applyFont="1" applyFill="1" applyBorder="1"/>
    <xf numFmtId="14" fontId="10" fillId="3" borderId="21" xfId="0" applyNumberFormat="1" applyFont="1" applyFill="1" applyBorder="1" applyAlignment="1">
      <alignment horizontal="center" vertical="center" wrapText="1" readingOrder="1"/>
    </xf>
    <xf numFmtId="14" fontId="10" fillId="3" borderId="0" xfId="0" applyNumberFormat="1" applyFont="1" applyFill="1" applyAlignment="1">
      <alignment horizontal="center" vertical="center" wrapText="1" readingOrder="1"/>
    </xf>
    <xf numFmtId="0" fontId="10" fillId="3" borderId="33" xfId="0" applyFont="1" applyFill="1" applyBorder="1" applyAlignment="1">
      <alignment horizontal="center" vertical="center" wrapText="1" readingOrder="1"/>
    </xf>
    <xf numFmtId="167" fontId="10" fillId="6" borderId="1" xfId="7" applyNumberFormat="1" applyFont="1" applyFill="1" applyBorder="1" applyAlignment="1">
      <alignment horizontal="right" vertical="center" wrapText="1" readingOrder="1"/>
    </xf>
    <xf numFmtId="3" fontId="10" fillId="3" borderId="1" xfId="0" applyNumberFormat="1" applyFont="1" applyFill="1" applyBorder="1" applyAlignment="1">
      <alignment horizontal="center" vertical="center"/>
    </xf>
    <xf numFmtId="3" fontId="10" fillId="3" borderId="32" xfId="0" applyNumberFormat="1" applyFont="1" applyFill="1" applyBorder="1" applyAlignment="1">
      <alignment horizontal="right" vertical="center" wrapText="1" readingOrder="1"/>
    </xf>
    <xf numFmtId="3" fontId="10" fillId="3" borderId="1" xfId="7" applyNumberFormat="1" applyFont="1" applyFill="1" applyBorder="1" applyAlignment="1">
      <alignment horizontal="right" vertical="center" wrapText="1" readingOrder="1"/>
    </xf>
    <xf numFmtId="0" fontId="6" fillId="3" borderId="0" xfId="0" applyFont="1" applyFill="1" applyAlignment="1">
      <alignment wrapText="1"/>
    </xf>
    <xf numFmtId="164" fontId="0" fillId="3" borderId="0" xfId="0" applyNumberFormat="1" applyFill="1"/>
    <xf numFmtId="171" fontId="10" fillId="3" borderId="20" xfId="2" applyNumberFormat="1" applyFont="1" applyFill="1" applyBorder="1" applyAlignment="1">
      <alignment horizontal="center" vertical="center" wrapText="1" readingOrder="1"/>
    </xf>
    <xf numFmtId="3" fontId="15" fillId="0" borderId="0" xfId="0" applyNumberFormat="1" applyFont="1" applyAlignment="1">
      <alignment readingOrder="1"/>
    </xf>
    <xf numFmtId="169" fontId="0" fillId="0" borderId="0" xfId="0" applyNumberFormat="1"/>
    <xf numFmtId="164" fontId="0" fillId="0" borderId="0" xfId="0" applyNumberFormat="1"/>
    <xf numFmtId="169" fontId="10" fillId="0" borderId="0" xfId="1" applyNumberFormat="1" applyFont="1" applyAlignment="1">
      <alignment horizontal="left" vertical="center" wrapText="1" readingOrder="1"/>
    </xf>
    <xf numFmtId="169" fontId="6" fillId="0" borderId="0" xfId="1" applyNumberFormat="1" applyFont="1"/>
    <xf numFmtId="167" fontId="5" fillId="3" borderId="20" xfId="7" applyNumberFormat="1" applyFont="1" applyFill="1" applyBorder="1" applyAlignment="1">
      <alignment horizontal="center" vertical="center"/>
    </xf>
    <xf numFmtId="167" fontId="10" fillId="3" borderId="20" xfId="7" applyNumberFormat="1" applyFont="1" applyFill="1" applyBorder="1" applyAlignment="1">
      <alignment horizontal="right" vertical="center"/>
    </xf>
    <xf numFmtId="0" fontId="10" fillId="3" borderId="20" xfId="9" applyFont="1" applyFill="1" applyBorder="1" applyAlignment="1">
      <alignment horizontal="center" vertical="center" wrapText="1" readingOrder="1"/>
    </xf>
    <xf numFmtId="169" fontId="10" fillId="3" borderId="20" xfId="59" applyNumberFormat="1" applyFont="1" applyFill="1" applyBorder="1" applyAlignment="1">
      <alignment horizontal="right" vertical="center" wrapText="1" readingOrder="1"/>
    </xf>
    <xf numFmtId="3" fontId="10" fillId="3" borderId="20" xfId="9" applyNumberFormat="1" applyFont="1" applyFill="1" applyBorder="1" applyAlignment="1">
      <alignment horizontal="center" vertical="center" wrapText="1" readingOrder="1"/>
    </xf>
    <xf numFmtId="3" fontId="10" fillId="3" borderId="20" xfId="9" applyNumberFormat="1" applyFont="1" applyFill="1" applyBorder="1" applyAlignment="1">
      <alignment horizontal="right" vertical="center" wrapText="1" readingOrder="1"/>
    </xf>
    <xf numFmtId="169" fontId="10" fillId="3" borderId="21" xfId="1" applyNumberFormat="1" applyFont="1" applyFill="1" applyBorder="1" applyAlignment="1">
      <alignment vertical="center" wrapText="1" readingOrder="1"/>
    </xf>
    <xf numFmtId="166" fontId="10" fillId="7" borderId="31" xfId="4" applyNumberFormat="1" applyFont="1" applyFill="1" applyBorder="1" applyAlignment="1">
      <alignment vertical="center" wrapText="1"/>
    </xf>
    <xf numFmtId="14" fontId="10" fillId="0" borderId="31" xfId="0" applyNumberFormat="1" applyFont="1" applyBorder="1" applyAlignment="1">
      <alignment vertical="center" wrapText="1" readingOrder="1"/>
    </xf>
    <xf numFmtId="171" fontId="6" fillId="3" borderId="20" xfId="0" applyNumberFormat="1" applyFont="1" applyFill="1" applyBorder="1" applyAlignment="1">
      <alignment horizontal="right" vertical="center"/>
    </xf>
    <xf numFmtId="164" fontId="11" fillId="3" borderId="0" xfId="0" applyNumberFormat="1" applyFont="1" applyFill="1"/>
    <xf numFmtId="3" fontId="6" fillId="3" borderId="0" xfId="0" applyNumberFormat="1" applyFont="1" applyFill="1"/>
    <xf numFmtId="0" fontId="10" fillId="0" borderId="1" xfId="0" applyFont="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4" fillId="0" borderId="20" xfId="12" applyNumberFormat="1" applyFont="1" applyBorder="1" applyAlignment="1">
      <alignment horizontal="right" wrapText="1"/>
    </xf>
    <xf numFmtId="3" fontId="10" fillId="0" borderId="20" xfId="7" applyNumberFormat="1" applyFont="1" applyFill="1" applyBorder="1" applyAlignment="1">
      <alignment horizontal="right" vertical="center" wrapText="1" readingOrder="1"/>
    </xf>
    <xf numFmtId="0" fontId="10" fillId="3" borderId="21" xfId="0" applyFont="1" applyFill="1" applyBorder="1" applyAlignment="1">
      <alignment horizontal="center" vertical="center"/>
    </xf>
    <xf numFmtId="0" fontId="6" fillId="3" borderId="0" xfId="0" applyFont="1" applyFill="1" applyAlignment="1">
      <alignment horizontal="center" vertical="center" wrapText="1"/>
    </xf>
    <xf numFmtId="0" fontId="6" fillId="3" borderId="0" xfId="0" applyFont="1" applyFill="1" applyAlignment="1">
      <alignment horizontal="left" vertical="center" wrapText="1"/>
    </xf>
    <xf numFmtId="14" fontId="6" fillId="3" borderId="0" xfId="0" applyNumberFormat="1" applyFont="1" applyFill="1" applyAlignment="1">
      <alignment horizontal="center" vertical="center" wrapText="1"/>
    </xf>
    <xf numFmtId="164" fontId="4" fillId="8" borderId="0" xfId="1" applyFont="1" applyFill="1" applyBorder="1" applyAlignment="1">
      <alignment horizontal="center" vertical="center"/>
    </xf>
    <xf numFmtId="167" fontId="10" fillId="3" borderId="21" xfId="7" applyNumberFormat="1" applyFont="1" applyFill="1" applyBorder="1" applyAlignment="1">
      <alignment horizontal="right" vertical="center"/>
    </xf>
    <xf numFmtId="170" fontId="10" fillId="3" borderId="21" xfId="7" applyFont="1" applyFill="1" applyBorder="1" applyAlignment="1">
      <alignment horizontal="right" vertical="center"/>
    </xf>
    <xf numFmtId="167" fontId="5" fillId="3" borderId="20" xfId="7" applyNumberFormat="1" applyFont="1" applyFill="1" applyBorder="1" applyAlignment="1">
      <alignment vertical="center"/>
    </xf>
    <xf numFmtId="169" fontId="10" fillId="3" borderId="48" xfId="1" applyNumberFormat="1" applyFont="1" applyFill="1" applyBorder="1" applyAlignment="1">
      <alignment horizontal="center" vertical="center" wrapText="1" readingOrder="1"/>
    </xf>
    <xf numFmtId="0" fontId="10" fillId="3" borderId="27" xfId="0" applyFont="1" applyFill="1" applyBorder="1" applyAlignment="1">
      <alignment horizontal="center" vertical="center" wrapText="1" readingOrder="1"/>
    </xf>
    <xf numFmtId="14" fontId="10" fillId="6" borderId="2" xfId="0" applyNumberFormat="1" applyFont="1" applyFill="1" applyBorder="1" applyAlignment="1">
      <alignment horizontal="center" vertical="center" wrapText="1" readingOrder="1"/>
    </xf>
    <xf numFmtId="166" fontId="10" fillId="7" borderId="20" xfId="4" applyNumberFormat="1" applyFont="1" applyFill="1" applyBorder="1" applyAlignment="1">
      <alignment vertical="center" wrapText="1"/>
    </xf>
    <xf numFmtId="14" fontId="10" fillId="3" borderId="20" xfId="0" applyNumberFormat="1" applyFont="1" applyFill="1" applyBorder="1" applyAlignment="1">
      <alignment vertical="center" wrapText="1" readingOrder="1"/>
    </xf>
    <xf numFmtId="0" fontId="6" fillId="0" borderId="20" xfId="0" applyFont="1" applyBorder="1" applyAlignment="1">
      <alignment horizontal="center" vertical="center" wrapText="1"/>
    </xf>
    <xf numFmtId="14" fontId="4" fillId="0" borderId="51" xfId="0" applyNumberFormat="1" applyFont="1" applyBorder="1" applyAlignment="1">
      <alignment horizontal="center" vertical="center" wrapText="1"/>
    </xf>
    <xf numFmtId="168" fontId="10" fillId="0" borderId="20" xfId="8" applyNumberFormat="1" applyFont="1" applyFill="1" applyBorder="1" applyAlignment="1">
      <alignment horizontal="center" vertical="center" wrapText="1" readingOrder="1"/>
    </xf>
    <xf numFmtId="0" fontId="6" fillId="3" borderId="20" xfId="0" applyFont="1" applyFill="1" applyBorder="1" applyAlignment="1">
      <alignment horizontal="center" vertical="center"/>
    </xf>
    <xf numFmtId="3" fontId="10" fillId="3" borderId="19" xfId="0" applyNumberFormat="1" applyFont="1" applyFill="1" applyBorder="1" applyAlignment="1">
      <alignment horizontal="center" vertical="center" wrapText="1" readingOrder="1"/>
    </xf>
    <xf numFmtId="169" fontId="6" fillId="3" borderId="20" xfId="1" applyNumberFormat="1" applyFont="1" applyFill="1" applyBorder="1" applyAlignment="1">
      <alignment vertical="center"/>
    </xf>
    <xf numFmtId="3" fontId="11" fillId="3" borderId="0" xfId="0" applyNumberFormat="1" applyFont="1" applyFill="1"/>
    <xf numFmtId="14" fontId="10" fillId="6" borderId="20" xfId="0" applyNumberFormat="1" applyFont="1" applyFill="1" applyBorder="1" applyAlignment="1">
      <alignment horizontal="center" vertical="center" wrapText="1" readingOrder="1"/>
    </xf>
    <xf numFmtId="3" fontId="11" fillId="0" borderId="0" xfId="0" applyNumberFormat="1" applyFont="1" applyAlignment="1">
      <alignment horizontal="left"/>
    </xf>
    <xf numFmtId="3" fontId="10" fillId="3" borderId="54" xfId="0" applyNumberFormat="1" applyFont="1" applyFill="1" applyBorder="1" applyAlignment="1">
      <alignment horizontal="center" vertical="center" wrapText="1" readingOrder="1"/>
    </xf>
    <xf numFmtId="14" fontId="6" fillId="3" borderId="54" xfId="0" applyNumberFormat="1" applyFont="1" applyFill="1" applyBorder="1" applyAlignment="1">
      <alignment horizontal="center" vertical="center" wrapText="1"/>
    </xf>
    <xf numFmtId="0" fontId="10" fillId="3" borderId="56" xfId="0" applyFont="1" applyFill="1" applyBorder="1" applyAlignment="1">
      <alignment horizontal="center" vertical="center" wrapText="1" readingOrder="1"/>
    </xf>
    <xf numFmtId="0" fontId="6" fillId="3" borderId="21" xfId="0" applyFont="1" applyFill="1" applyBorder="1" applyAlignment="1">
      <alignment horizontal="center" vertical="center" wrapText="1"/>
    </xf>
    <xf numFmtId="0" fontId="6" fillId="3" borderId="21" xfId="0" applyFont="1" applyFill="1" applyBorder="1" applyAlignment="1">
      <alignment vertical="center" wrapText="1"/>
    </xf>
    <xf numFmtId="0" fontId="6" fillId="3" borderId="21" xfId="0" applyFont="1" applyFill="1" applyBorder="1" applyAlignment="1">
      <alignment vertical="top" wrapText="1"/>
    </xf>
    <xf numFmtId="0" fontId="10" fillId="6" borderId="21" xfId="0" applyFont="1" applyFill="1" applyBorder="1" applyAlignment="1">
      <alignment vertical="top" wrapText="1" readingOrder="1"/>
    </xf>
    <xf numFmtId="3" fontId="10" fillId="6" borderId="21" xfId="0" applyNumberFormat="1" applyFont="1" applyFill="1" applyBorder="1" applyAlignment="1">
      <alignment vertical="center" wrapText="1" readingOrder="1"/>
    </xf>
    <xf numFmtId="169" fontId="4" fillId="8" borderId="54" xfId="1" applyNumberFormat="1" applyFont="1" applyFill="1" applyBorder="1" applyAlignment="1">
      <alignment horizontal="center" vertical="center"/>
    </xf>
    <xf numFmtId="169" fontId="4" fillId="8" borderId="21" xfId="1" applyNumberFormat="1" applyFont="1" applyFill="1" applyBorder="1" applyAlignment="1">
      <alignment vertical="center"/>
    </xf>
    <xf numFmtId="3" fontId="10" fillId="3" borderId="54" xfId="0" applyNumberFormat="1" applyFont="1" applyFill="1" applyBorder="1" applyAlignment="1">
      <alignment horizontal="right" vertical="center" wrapText="1" readingOrder="1"/>
    </xf>
    <xf numFmtId="0" fontId="10" fillId="3" borderId="20" xfId="9" applyFont="1" applyFill="1" applyBorder="1" applyAlignment="1">
      <alignment horizontal="center" vertical="center"/>
    </xf>
    <xf numFmtId="169" fontId="6" fillId="3" borderId="21" xfId="1" applyNumberFormat="1" applyFont="1" applyFill="1" applyBorder="1" applyAlignment="1">
      <alignment vertical="center"/>
    </xf>
    <xf numFmtId="0" fontId="10" fillId="3" borderId="14" xfId="0" applyFont="1" applyFill="1" applyBorder="1" applyAlignment="1">
      <alignment horizontal="center" vertical="center" wrapText="1" readingOrder="1"/>
    </xf>
    <xf numFmtId="0" fontId="6" fillId="3" borderId="54" xfId="0" applyFont="1" applyFill="1" applyBorder="1" applyAlignment="1">
      <alignment horizontal="left" vertical="center" wrapText="1"/>
    </xf>
    <xf numFmtId="0" fontId="6" fillId="3" borderId="54" xfId="9" applyFont="1" applyFill="1" applyBorder="1" applyAlignment="1">
      <alignment horizontal="center" vertical="center" wrapText="1"/>
    </xf>
    <xf numFmtId="0" fontId="6" fillId="3" borderId="54" xfId="0" applyFont="1" applyFill="1" applyBorder="1" applyAlignment="1">
      <alignment horizontal="center" vertical="center" wrapText="1"/>
    </xf>
    <xf numFmtId="0" fontId="6" fillId="3" borderId="54" xfId="0" applyFont="1" applyFill="1" applyBorder="1" applyAlignment="1">
      <alignment horizontal="left" vertical="top" wrapText="1"/>
    </xf>
    <xf numFmtId="169" fontId="4" fillId="8" borderId="54" xfId="1" applyNumberFormat="1" applyFont="1" applyFill="1" applyBorder="1" applyAlignment="1">
      <alignment vertical="center"/>
    </xf>
    <xf numFmtId="14" fontId="6" fillId="3" borderId="54" xfId="0" applyNumberFormat="1" applyFont="1" applyFill="1" applyBorder="1" applyAlignment="1">
      <alignment horizontal="center" vertical="center"/>
    </xf>
    <xf numFmtId="3" fontId="5" fillId="3" borderId="54" xfId="0" applyNumberFormat="1" applyFont="1" applyFill="1" applyBorder="1" applyAlignment="1">
      <alignment horizontal="right" vertical="center" wrapText="1" readingOrder="1"/>
    </xf>
    <xf numFmtId="49" fontId="5" fillId="3" borderId="33" xfId="1" applyNumberFormat="1" applyFont="1" applyFill="1" applyBorder="1" applyAlignment="1">
      <alignment horizontal="center" vertical="center" wrapText="1"/>
    </xf>
    <xf numFmtId="0" fontId="10" fillId="3" borderId="54" xfId="0" applyFont="1" applyFill="1" applyBorder="1" applyAlignment="1">
      <alignment horizontal="center" vertical="center" wrapText="1" readingOrder="1"/>
    </xf>
    <xf numFmtId="166" fontId="10" fillId="7" borderId="54" xfId="4" applyNumberFormat="1" applyFont="1" applyFill="1" applyBorder="1" applyAlignment="1">
      <alignment horizontal="right" vertical="center" wrapText="1"/>
    </xf>
    <xf numFmtId="169" fontId="10" fillId="3" borderId="54" xfId="1" applyNumberFormat="1" applyFont="1" applyFill="1" applyBorder="1" applyAlignment="1">
      <alignment horizontal="center" vertical="center" wrapText="1" readingOrder="1"/>
    </xf>
    <xf numFmtId="168" fontId="10" fillId="3" borderId="54" xfId="8" applyNumberFormat="1" applyFont="1" applyFill="1" applyBorder="1" applyAlignment="1">
      <alignment horizontal="center" vertical="center" wrapText="1" readingOrder="1"/>
    </xf>
    <xf numFmtId="0" fontId="10" fillId="3" borderId="54" xfId="9" applyFont="1" applyFill="1" applyBorder="1" applyAlignment="1">
      <alignment horizontal="center" vertical="center" wrapText="1" readingOrder="1"/>
    </xf>
    <xf numFmtId="169" fontId="10" fillId="3" borderId="54" xfId="7" applyNumberFormat="1" applyFont="1" applyFill="1" applyBorder="1" applyAlignment="1">
      <alignment horizontal="right" vertical="center" wrapText="1" readingOrder="1"/>
    </xf>
    <xf numFmtId="3" fontId="10" fillId="3" borderId="54" xfId="2" applyNumberFormat="1" applyFont="1" applyFill="1" applyBorder="1" applyAlignment="1">
      <alignment horizontal="right" vertical="center" wrapText="1" readingOrder="1"/>
    </xf>
    <xf numFmtId="0" fontId="10" fillId="3" borderId="54" xfId="0" applyFont="1" applyFill="1" applyBorder="1" applyAlignment="1">
      <alignment vertical="center"/>
    </xf>
    <xf numFmtId="0" fontId="10" fillId="3" borderId="13" xfId="0" applyFont="1" applyFill="1" applyBorder="1" applyAlignment="1">
      <alignment vertical="center"/>
    </xf>
    <xf numFmtId="0" fontId="10" fillId="6" borderId="54" xfId="0" applyFont="1" applyFill="1" applyBorder="1" applyAlignment="1">
      <alignment horizontal="center" vertical="center" wrapText="1" readingOrder="1"/>
    </xf>
    <xf numFmtId="3" fontId="10" fillId="6" borderId="54" xfId="0" applyNumberFormat="1" applyFont="1" applyFill="1" applyBorder="1" applyAlignment="1">
      <alignment horizontal="right" vertical="center" wrapText="1" readingOrder="1"/>
    </xf>
    <xf numFmtId="49" fontId="4" fillId="0" borderId="21" xfId="3" applyNumberFormat="1" applyFont="1" applyBorder="1" applyAlignment="1">
      <alignment horizontal="center" vertical="center" wrapText="1"/>
    </xf>
    <xf numFmtId="0" fontId="5" fillId="0" borderId="21" xfId="0" applyFont="1" applyBorder="1" applyAlignment="1">
      <alignment horizontal="left" vertical="center" wrapText="1" readingOrder="1"/>
    </xf>
    <xf numFmtId="0" fontId="6" fillId="3" borderId="23" xfId="0" applyFont="1" applyFill="1" applyBorder="1"/>
    <xf numFmtId="9" fontId="6" fillId="3" borderId="54" xfId="5" applyFont="1" applyFill="1" applyBorder="1" applyAlignment="1">
      <alignment horizontal="center" vertical="center"/>
    </xf>
    <xf numFmtId="0" fontId="10" fillId="0" borderId="54" xfId="0" applyFont="1" applyBorder="1" applyAlignment="1">
      <alignment horizontal="center" vertical="center" wrapText="1" readingOrder="1"/>
    </xf>
    <xf numFmtId="169" fontId="6" fillId="0" borderId="20" xfId="0" applyNumberFormat="1" applyFont="1" applyBorder="1" applyAlignment="1">
      <alignment vertical="center" wrapText="1"/>
    </xf>
    <xf numFmtId="169" fontId="6" fillId="3" borderId="20" xfId="0" applyNumberFormat="1" applyFont="1" applyFill="1" applyBorder="1" applyAlignment="1">
      <alignment vertical="center" wrapText="1"/>
    </xf>
    <xf numFmtId="169" fontId="6" fillId="3" borderId="20" xfId="1" applyNumberFormat="1" applyFont="1" applyFill="1" applyBorder="1" applyAlignment="1">
      <alignment vertical="center" wrapText="1"/>
    </xf>
    <xf numFmtId="169" fontId="10" fillId="3" borderId="20" xfId="1" applyNumberFormat="1" applyFont="1" applyFill="1" applyBorder="1" applyAlignment="1">
      <alignment vertical="center"/>
    </xf>
    <xf numFmtId="169" fontId="4" fillId="3" borderId="20" xfId="2" applyNumberFormat="1" applyFont="1" applyFill="1" applyBorder="1" applyAlignment="1">
      <alignment vertical="center" wrapText="1"/>
    </xf>
    <xf numFmtId="169" fontId="5" fillId="3" borderId="20" xfId="2" applyNumberFormat="1" applyFont="1" applyFill="1" applyBorder="1" applyAlignment="1">
      <alignment vertical="center" wrapText="1"/>
    </xf>
    <xf numFmtId="169" fontId="4" fillId="3" borderId="20" xfId="1" applyNumberFormat="1" applyFont="1" applyFill="1" applyBorder="1" applyAlignment="1">
      <alignment vertical="center" wrapText="1"/>
    </xf>
    <xf numFmtId="169" fontId="5" fillId="3" borderId="20" xfId="0" applyNumberFormat="1" applyFont="1" applyFill="1" applyBorder="1" applyAlignment="1">
      <alignment vertical="center" wrapText="1"/>
    </xf>
    <xf numFmtId="169" fontId="6" fillId="0" borderId="20" xfId="0" applyNumberFormat="1" applyFont="1" applyBorder="1" applyAlignment="1">
      <alignment vertical="center"/>
    </xf>
    <xf numFmtId="3" fontId="4" fillId="3" borderId="13" xfId="2" applyNumberFormat="1" applyFont="1" applyFill="1" applyBorder="1" applyAlignment="1">
      <alignment vertical="center" wrapText="1"/>
    </xf>
    <xf numFmtId="3" fontId="5" fillId="3" borderId="20" xfId="2" applyNumberFormat="1" applyFont="1" applyFill="1" applyBorder="1" applyAlignment="1">
      <alignment vertical="center" wrapText="1"/>
    </xf>
    <xf numFmtId="169" fontId="11" fillId="3" borderId="0" xfId="0" applyNumberFormat="1" applyFont="1" applyFill="1"/>
    <xf numFmtId="169" fontId="10" fillId="0" borderId="0" xfId="0" applyNumberFormat="1" applyFont="1" applyAlignment="1">
      <alignment horizontal="left" vertical="center" wrapText="1" readingOrder="1"/>
    </xf>
    <xf numFmtId="3" fontId="10" fillId="3" borderId="31" xfId="0" applyNumberFormat="1" applyFont="1" applyFill="1" applyBorder="1" applyAlignment="1">
      <alignment vertical="center" wrapText="1" readingOrder="1"/>
    </xf>
    <xf numFmtId="169" fontId="11" fillId="0" borderId="0" xfId="0" applyNumberFormat="1" applyFont="1"/>
    <xf numFmtId="3" fontId="10" fillId="0" borderId="0" xfId="0" applyNumberFormat="1" applyFont="1" applyAlignment="1">
      <alignment horizontal="left" vertical="center" wrapText="1" readingOrder="1"/>
    </xf>
    <xf numFmtId="0" fontId="10" fillId="3" borderId="5" xfId="0" applyFont="1" applyFill="1" applyBorder="1" applyAlignment="1">
      <alignment horizontal="center" vertical="center"/>
    </xf>
    <xf numFmtId="3" fontId="62" fillId="0" borderId="0" xfId="0" applyNumberFormat="1" applyFont="1"/>
    <xf numFmtId="167" fontId="10" fillId="3" borderId="54" xfId="2" applyNumberFormat="1" applyFont="1" applyFill="1" applyBorder="1" applyAlignment="1">
      <alignment horizontal="right" vertical="center" wrapText="1" readingOrder="1"/>
    </xf>
    <xf numFmtId="14" fontId="10" fillId="3" borderId="54" xfId="0" applyNumberFormat="1" applyFont="1" applyFill="1" applyBorder="1" applyAlignment="1">
      <alignment horizontal="center" vertical="center" wrapText="1" readingOrder="1"/>
    </xf>
    <xf numFmtId="0" fontId="35" fillId="3" borderId="0" xfId="0" applyFont="1" applyFill="1" applyAlignment="1">
      <alignment wrapText="1"/>
    </xf>
    <xf numFmtId="168" fontId="0" fillId="0" borderId="0" xfId="0" applyNumberFormat="1"/>
    <xf numFmtId="3" fontId="11" fillId="0" borderId="0" xfId="0" applyNumberFormat="1" applyFont="1"/>
    <xf numFmtId="9" fontId="16" fillId="2" borderId="1" xfId="5" applyFont="1" applyFill="1" applyBorder="1" applyAlignment="1">
      <alignment horizontal="center" vertical="center" wrapText="1" readingOrder="1"/>
    </xf>
    <xf numFmtId="169" fontId="16" fillId="2" borderId="1" xfId="1" applyNumberFormat="1" applyFont="1" applyFill="1" applyBorder="1" applyAlignment="1">
      <alignment horizontal="left" vertical="center" wrapText="1" readingOrder="1"/>
    </xf>
    <xf numFmtId="167" fontId="63" fillId="2" borderId="20" xfId="0" applyNumberFormat="1" applyFont="1" applyFill="1" applyBorder="1" applyAlignment="1">
      <alignment horizontal="center" vertical="center" wrapText="1"/>
    </xf>
    <xf numFmtId="167" fontId="2" fillId="2" borderId="20" xfId="0" applyNumberFormat="1" applyFont="1" applyFill="1" applyBorder="1" applyAlignment="1">
      <alignment horizontal="center" vertical="center" wrapText="1"/>
    </xf>
    <xf numFmtId="0" fontId="6" fillId="0" borderId="54" xfId="0" applyFont="1" applyBorder="1" applyAlignment="1">
      <alignment horizontal="center"/>
    </xf>
    <xf numFmtId="168" fontId="6" fillId="0" borderId="54" xfId="6" applyNumberFormat="1" applyFont="1" applyBorder="1" applyAlignment="1">
      <alignment horizontal="center"/>
    </xf>
    <xf numFmtId="168" fontId="6" fillId="0" borderId="54" xfId="6" applyNumberFormat="1" applyFont="1" applyBorder="1"/>
    <xf numFmtId="9" fontId="6" fillId="0" borderId="54" xfId="5" applyFont="1" applyBorder="1" applyAlignment="1">
      <alignment horizontal="center"/>
    </xf>
    <xf numFmtId="0" fontId="6" fillId="3" borderId="54" xfId="0" applyFont="1" applyFill="1" applyBorder="1" applyAlignment="1">
      <alignment horizontal="center"/>
    </xf>
    <xf numFmtId="168" fontId="6" fillId="3" borderId="54" xfId="1" applyNumberFormat="1" applyFont="1" applyFill="1" applyBorder="1" applyAlignment="1">
      <alignment vertical="center" wrapText="1"/>
    </xf>
    <xf numFmtId="167" fontId="5" fillId="3" borderId="54" xfId="0" applyNumberFormat="1" applyFont="1" applyFill="1" applyBorder="1" applyAlignment="1">
      <alignment vertical="center" wrapText="1"/>
    </xf>
    <xf numFmtId="167" fontId="2" fillId="2" borderId="54" xfId="0" applyNumberFormat="1" applyFont="1" applyFill="1" applyBorder="1" applyAlignment="1">
      <alignment horizontal="center" vertical="center" wrapText="1"/>
    </xf>
    <xf numFmtId="167" fontId="63" fillId="2" borderId="54" xfId="0" applyNumberFormat="1" applyFont="1" applyFill="1" applyBorder="1" applyAlignment="1">
      <alignment horizontal="center" vertical="center" wrapText="1"/>
    </xf>
    <xf numFmtId="168" fontId="6" fillId="0" borderId="54" xfId="1" applyNumberFormat="1" applyFont="1" applyBorder="1" applyAlignment="1">
      <alignment vertical="center"/>
    </xf>
    <xf numFmtId="9" fontId="6" fillId="0" borderId="54" xfId="5" applyFont="1" applyBorder="1" applyAlignment="1">
      <alignment horizontal="center" vertical="center"/>
    </xf>
    <xf numFmtId="169" fontId="16" fillId="2" borderId="54" xfId="1" applyNumberFormat="1" applyFont="1" applyFill="1" applyBorder="1" applyAlignment="1">
      <alignment horizontal="left" vertical="center" wrapText="1" readingOrder="1"/>
    </xf>
    <xf numFmtId="9" fontId="16" fillId="2" borderId="54" xfId="5" applyFont="1" applyFill="1" applyBorder="1" applyAlignment="1">
      <alignment horizontal="center" vertical="center" wrapText="1" readingOrder="1"/>
    </xf>
    <xf numFmtId="167" fontId="5" fillId="3" borderId="54" xfId="0" applyNumberFormat="1" applyFont="1" applyFill="1" applyBorder="1" applyAlignment="1">
      <alignment horizontal="center" vertical="center" wrapText="1"/>
    </xf>
    <xf numFmtId="168" fontId="10" fillId="3" borderId="54" xfId="8" applyNumberFormat="1" applyFont="1" applyFill="1" applyBorder="1" applyAlignment="1">
      <alignment vertical="center" wrapText="1" readingOrder="1"/>
    </xf>
    <xf numFmtId="3" fontId="10" fillId="3" borderId="54" xfId="0" applyNumberFormat="1" applyFont="1" applyFill="1" applyBorder="1" applyAlignment="1">
      <alignment horizontal="center" vertical="center" readingOrder="1"/>
    </xf>
    <xf numFmtId="3" fontId="10" fillId="3" borderId="54" xfId="0" applyNumberFormat="1" applyFont="1" applyFill="1" applyBorder="1" applyAlignment="1">
      <alignment vertical="center" wrapText="1" readingOrder="1"/>
    </xf>
    <xf numFmtId="3" fontId="4" fillId="8" borderId="54" xfId="0" applyNumberFormat="1" applyFont="1" applyFill="1" applyBorder="1" applyAlignment="1">
      <alignment horizontal="center" vertical="center"/>
    </xf>
    <xf numFmtId="164" fontId="6" fillId="0" borderId="0" xfId="0" applyNumberFormat="1" applyFont="1"/>
    <xf numFmtId="3" fontId="11" fillId="3" borderId="0" xfId="0" applyNumberFormat="1" applyFont="1" applyFill="1" applyAlignment="1">
      <alignment vertical="center"/>
    </xf>
    <xf numFmtId="3" fontId="4" fillId="0" borderId="20" xfId="0" applyNumberFormat="1" applyFont="1" applyBorder="1" applyAlignment="1">
      <alignment horizontal="center" vertical="center"/>
    </xf>
    <xf numFmtId="0" fontId="6" fillId="0" borderId="20" xfId="0" applyFont="1" applyBorder="1" applyAlignment="1">
      <alignment horizontal="left" vertical="top" wrapText="1"/>
    </xf>
    <xf numFmtId="14" fontId="6" fillId="0" borderId="20" xfId="0" applyNumberFormat="1" applyFont="1" applyBorder="1" applyAlignment="1">
      <alignment horizontal="center" vertical="center" wrapText="1"/>
    </xf>
    <xf numFmtId="167" fontId="5" fillId="0" borderId="54" xfId="0" applyNumberFormat="1" applyFont="1" applyBorder="1" applyAlignment="1">
      <alignment horizontal="center" vertical="center" wrapText="1"/>
    </xf>
    <xf numFmtId="168" fontId="10" fillId="0" borderId="54" xfId="8" applyNumberFormat="1" applyFont="1" applyFill="1" applyBorder="1" applyAlignment="1">
      <alignment horizontal="center" vertical="center" wrapText="1" readingOrder="1"/>
    </xf>
    <xf numFmtId="3" fontId="10" fillId="0" borderId="54" xfId="0" applyNumberFormat="1" applyFont="1" applyBorder="1" applyAlignment="1">
      <alignment horizontal="center" vertical="center" wrapText="1" readingOrder="1"/>
    </xf>
    <xf numFmtId="168" fontId="6" fillId="0" borderId="0" xfId="0" applyNumberFormat="1" applyFont="1"/>
    <xf numFmtId="3" fontId="4" fillId="0" borderId="54" xfId="0" applyNumberFormat="1" applyFont="1" applyBorder="1" applyAlignment="1">
      <alignment horizontal="center" vertical="center"/>
    </xf>
    <xf numFmtId="8" fontId="0" fillId="0" borderId="0" xfId="0" applyNumberFormat="1"/>
    <xf numFmtId="0" fontId="10" fillId="0" borderId="20" xfId="0" applyFont="1" applyBorder="1" applyAlignment="1">
      <alignment horizontal="center" vertical="center" wrapText="1"/>
    </xf>
    <xf numFmtId="0" fontId="10" fillId="0" borderId="20" xfId="0" applyFont="1" applyBorder="1" applyAlignment="1">
      <alignment horizontal="left" vertical="top" wrapText="1"/>
    </xf>
    <xf numFmtId="3" fontId="10" fillId="0" borderId="20" xfId="0" applyNumberFormat="1" applyFont="1" applyBorder="1" applyAlignment="1">
      <alignment horizontal="center" vertical="center"/>
    </xf>
    <xf numFmtId="14" fontId="10" fillId="0" borderId="20" xfId="0" applyNumberFormat="1" applyFont="1" applyBorder="1" applyAlignment="1">
      <alignment horizontal="center" vertical="center" wrapText="1"/>
    </xf>
    <xf numFmtId="0" fontId="6" fillId="0" borderId="20" xfId="0" applyFont="1" applyBorder="1" applyAlignment="1">
      <alignment horizontal="left" vertical="center" wrapText="1"/>
    </xf>
    <xf numFmtId="0" fontId="6" fillId="0" borderId="20" xfId="9" applyFont="1" applyBorder="1" applyAlignment="1">
      <alignment horizontal="center" vertical="center" wrapText="1"/>
    </xf>
    <xf numFmtId="3" fontId="10" fillId="0" borderId="54" xfId="0" applyNumberFormat="1" applyFont="1" applyBorder="1" applyAlignment="1">
      <alignment horizontal="right" vertical="center" wrapText="1" readingOrder="1"/>
    </xf>
    <xf numFmtId="0" fontId="6" fillId="0" borderId="21" xfId="9" applyFont="1" applyBorder="1" applyAlignment="1">
      <alignment horizontal="center" vertical="center" wrapText="1"/>
    </xf>
    <xf numFmtId="3" fontId="10" fillId="0" borderId="1" xfId="0" applyNumberFormat="1" applyFont="1" applyBorder="1" applyAlignment="1">
      <alignment horizontal="right" vertical="center" wrapText="1" readingOrder="1"/>
    </xf>
    <xf numFmtId="0" fontId="6" fillId="0" borderId="54" xfId="0" applyFont="1" applyBorder="1" applyAlignment="1">
      <alignment horizontal="left" vertical="top" wrapText="1"/>
    </xf>
    <xf numFmtId="0" fontId="6" fillId="0" borderId="54" xfId="9" applyFont="1" applyBorder="1" applyAlignment="1">
      <alignment horizontal="center" vertical="center" wrapText="1"/>
    </xf>
    <xf numFmtId="14" fontId="6" fillId="0" borderId="54" xfId="0" applyNumberFormat="1" applyFont="1" applyBorder="1" applyAlignment="1">
      <alignment horizontal="center" vertical="center" wrapText="1"/>
    </xf>
    <xf numFmtId="0" fontId="32" fillId="0" borderId="0" xfId="0" applyFont="1" applyAlignment="1">
      <alignment horizontal="center" vertical="center" wrapText="1"/>
    </xf>
    <xf numFmtId="0" fontId="32" fillId="0" borderId="0" xfId="0" applyFont="1" applyAlignment="1">
      <alignment horizontal="left" vertical="center" wrapText="1"/>
    </xf>
    <xf numFmtId="0" fontId="32" fillId="0" borderId="0" xfId="9" applyFont="1" applyAlignment="1">
      <alignment horizontal="center" vertical="center" wrapText="1"/>
    </xf>
    <xf numFmtId="14" fontId="32" fillId="0" borderId="0" xfId="0" applyNumberFormat="1" applyFont="1" applyAlignment="1">
      <alignment horizontal="center" vertical="center" wrapText="1"/>
    </xf>
    <xf numFmtId="164" fontId="22" fillId="0" borderId="0" xfId="1" applyFont="1" applyFill="1" applyBorder="1" applyAlignment="1">
      <alignment horizontal="center" vertical="center"/>
    </xf>
    <xf numFmtId="14" fontId="32" fillId="0" borderId="0" xfId="0" applyNumberFormat="1" applyFont="1" applyAlignment="1">
      <alignment horizontal="center" vertical="center"/>
    </xf>
    <xf numFmtId="0" fontId="32" fillId="0" borderId="20" xfId="0" applyFont="1" applyBorder="1" applyAlignment="1">
      <alignment horizontal="center" vertical="center" wrapText="1"/>
    </xf>
    <xf numFmtId="164" fontId="22" fillId="0" borderId="0" xfId="2" applyFont="1" applyFill="1" applyBorder="1" applyAlignment="1">
      <alignment horizontal="center" vertical="center"/>
    </xf>
    <xf numFmtId="14" fontId="6" fillId="0" borderId="20" xfId="0" applyNumberFormat="1"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vertical="center" wrapText="1"/>
    </xf>
    <xf numFmtId="14" fontId="6" fillId="0" borderId="0" xfId="0" applyNumberFormat="1" applyFont="1" applyAlignment="1">
      <alignment horizontal="center" vertical="center" wrapText="1"/>
    </xf>
    <xf numFmtId="164" fontId="4" fillId="0" borderId="0" xfId="2" applyFont="1" applyFill="1" applyBorder="1" applyAlignment="1">
      <alignment horizontal="center" vertical="center"/>
    </xf>
    <xf numFmtId="164" fontId="4" fillId="0" borderId="0" xfId="1" applyFont="1" applyFill="1" applyBorder="1" applyAlignment="1">
      <alignment horizontal="center" vertical="center"/>
    </xf>
    <xf numFmtId="169" fontId="10" fillId="0" borderId="54" xfId="1" applyNumberFormat="1" applyFont="1" applyFill="1" applyBorder="1" applyAlignment="1">
      <alignment horizontal="center" vertical="center" wrapText="1" readingOrder="1"/>
    </xf>
    <xf numFmtId="0" fontId="10" fillId="0" borderId="20" xfId="9" applyFont="1" applyBorder="1" applyAlignment="1">
      <alignment horizontal="center" vertical="center" wrapText="1"/>
    </xf>
    <xf numFmtId="0" fontId="10" fillId="0" borderId="0" xfId="0" applyFont="1"/>
    <xf numFmtId="167" fontId="10" fillId="0" borderId="54" xfId="0" applyNumberFormat="1" applyFont="1" applyBorder="1" applyAlignment="1">
      <alignment horizontal="center" vertical="center" wrapText="1"/>
    </xf>
    <xf numFmtId="0" fontId="10" fillId="0" borderId="20" xfId="0" applyFont="1" applyBorder="1" applyAlignment="1">
      <alignment horizontal="left" vertical="center" wrapText="1"/>
    </xf>
    <xf numFmtId="14" fontId="34" fillId="0" borderId="0" xfId="0" applyNumberFormat="1" applyFont="1" applyAlignment="1">
      <alignment horizontal="center" vertical="center" wrapText="1"/>
    </xf>
    <xf numFmtId="164" fontId="34" fillId="0" borderId="0" xfId="1" applyFont="1" applyFill="1" applyBorder="1" applyAlignment="1">
      <alignment horizontal="center" vertical="center"/>
    </xf>
    <xf numFmtId="14" fontId="10" fillId="0" borderId="0" xfId="0" applyNumberFormat="1" applyFont="1" applyAlignment="1">
      <alignment horizontal="center" vertical="center" wrapText="1"/>
    </xf>
    <xf numFmtId="164" fontId="10" fillId="0" borderId="0" xfId="1" applyFont="1" applyFill="1" applyBorder="1" applyAlignment="1">
      <alignment horizontal="center" vertical="center"/>
    </xf>
    <xf numFmtId="0" fontId="6" fillId="0" borderId="54" xfId="0" applyFont="1" applyBorder="1" applyAlignment="1">
      <alignment horizontal="center" vertical="center" wrapText="1"/>
    </xf>
    <xf numFmtId="0" fontId="6" fillId="0" borderId="54" xfId="0" applyFont="1" applyBorder="1" applyAlignment="1">
      <alignment horizontal="left" vertical="center" wrapText="1"/>
    </xf>
    <xf numFmtId="0" fontId="6" fillId="0" borderId="0" xfId="0" applyFont="1" applyAlignment="1">
      <alignment horizontal="center" vertical="center"/>
    </xf>
    <xf numFmtId="0" fontId="10" fillId="0" borderId="54" xfId="9" applyFont="1" applyBorder="1" applyAlignment="1">
      <alignment horizontal="center" vertical="center" wrapText="1"/>
    </xf>
    <xf numFmtId="14" fontId="10" fillId="0" borderId="54" xfId="0" applyNumberFormat="1" applyFont="1" applyBorder="1" applyAlignment="1">
      <alignment horizontal="center" vertical="center" wrapText="1" readingOrder="1"/>
    </xf>
    <xf numFmtId="14" fontId="10" fillId="0" borderId="20" xfId="0" applyNumberFormat="1" applyFont="1" applyBorder="1" applyAlignment="1">
      <alignment horizontal="left" vertical="center"/>
    </xf>
    <xf numFmtId="3" fontId="10" fillId="0" borderId="0" xfId="0" applyNumberFormat="1" applyFont="1"/>
    <xf numFmtId="0" fontId="10" fillId="0" borderId="0" xfId="0" applyFont="1" applyAlignment="1">
      <alignment wrapText="1"/>
    </xf>
    <xf numFmtId="3" fontId="34" fillId="0" borderId="0" xfId="0" applyNumberFormat="1" applyFont="1" applyAlignment="1">
      <alignment horizontal="right" vertical="center" wrapText="1" readingOrder="1"/>
    </xf>
    <xf numFmtId="14" fontId="34" fillId="0" borderId="0" xfId="9" applyNumberFormat="1" applyFont="1" applyAlignment="1">
      <alignment horizontal="center" vertical="center" wrapText="1"/>
    </xf>
    <xf numFmtId="0" fontId="34" fillId="0" borderId="0" xfId="0" applyFont="1" applyAlignment="1">
      <alignment horizontal="center" vertical="center" wrapText="1" readingOrder="1"/>
    </xf>
    <xf numFmtId="166" fontId="34" fillId="0" borderId="0" xfId="4" applyNumberFormat="1" applyFont="1" applyFill="1" applyBorder="1" applyAlignment="1">
      <alignment vertical="center" wrapText="1"/>
    </xf>
    <xf numFmtId="0" fontId="34" fillId="0" borderId="0" xfId="9" applyFont="1" applyAlignment="1">
      <alignment horizontal="center" vertical="center" wrapText="1"/>
    </xf>
    <xf numFmtId="169" fontId="4" fillId="0" borderId="20" xfId="1" applyNumberFormat="1" applyFont="1" applyFill="1" applyBorder="1" applyAlignment="1">
      <alignment horizontal="right" vertical="center"/>
    </xf>
    <xf numFmtId="14" fontId="4" fillId="0" borderId="20" xfId="0" applyNumberFormat="1" applyFont="1" applyBorder="1" applyAlignment="1">
      <alignment horizontal="left" vertical="center"/>
    </xf>
    <xf numFmtId="169" fontId="4" fillId="0" borderId="54" xfId="1" applyNumberFormat="1" applyFont="1" applyFill="1" applyBorder="1" applyAlignment="1">
      <alignment horizontal="right" vertical="center"/>
    </xf>
    <xf numFmtId="169" fontId="4" fillId="0" borderId="20" xfId="1" applyNumberFormat="1" applyFont="1" applyFill="1" applyBorder="1" applyAlignment="1">
      <alignment horizontal="center" vertical="center"/>
    </xf>
    <xf numFmtId="169" fontId="4" fillId="0" borderId="54" xfId="2" applyNumberFormat="1" applyFont="1" applyFill="1" applyBorder="1" applyAlignment="1">
      <alignment horizontal="center" vertical="center"/>
    </xf>
    <xf numFmtId="0" fontId="6" fillId="0" borderId="0" xfId="0" applyFont="1" applyAlignment="1">
      <alignment vertical="center"/>
    </xf>
    <xf numFmtId="14" fontId="4" fillId="0" borderId="20" xfId="0" applyNumberFormat="1" applyFont="1" applyBorder="1" applyAlignment="1">
      <alignment horizontal="center" vertical="center"/>
    </xf>
    <xf numFmtId="3" fontId="4" fillId="0" borderId="1" xfId="0" applyNumberFormat="1" applyFont="1" applyBorder="1" applyAlignment="1">
      <alignment horizontal="center" vertical="center"/>
    </xf>
    <xf numFmtId="0" fontId="6" fillId="0" borderId="13" xfId="9" applyFont="1" applyBorder="1" applyAlignment="1">
      <alignment horizontal="center" vertical="center" wrapText="1"/>
    </xf>
    <xf numFmtId="14" fontId="6" fillId="0" borderId="20" xfId="0" applyNumberFormat="1" applyFont="1" applyBorder="1" applyAlignment="1">
      <alignment horizontal="left" vertical="center" wrapText="1"/>
    </xf>
    <xf numFmtId="3" fontId="6" fillId="0" borderId="0" xfId="0" applyNumberFormat="1" applyFont="1" applyAlignment="1">
      <alignment vertical="center"/>
    </xf>
    <xf numFmtId="0" fontId="6" fillId="0" borderId="0" xfId="0" applyFont="1" applyAlignment="1">
      <alignment vertical="center" wrapText="1"/>
    </xf>
    <xf numFmtId="169" fontId="4" fillId="0" borderId="26" xfId="1" applyNumberFormat="1" applyFont="1" applyFill="1" applyBorder="1" applyAlignment="1">
      <alignment horizontal="center" vertical="center"/>
    </xf>
    <xf numFmtId="169" fontId="4" fillId="0" borderId="55" xfId="1" applyNumberFormat="1" applyFont="1" applyFill="1" applyBorder="1" applyAlignment="1">
      <alignment horizontal="center" vertical="center"/>
    </xf>
    <xf numFmtId="4" fontId="22" fillId="0" borderId="0" xfId="0" applyNumberFormat="1" applyFont="1" applyAlignment="1">
      <alignment horizontal="center" vertical="center"/>
    </xf>
    <xf numFmtId="3" fontId="10" fillId="0" borderId="21" xfId="0" applyNumberFormat="1" applyFont="1" applyBorder="1" applyAlignment="1">
      <alignment vertical="center" wrapText="1" readingOrder="1"/>
    </xf>
    <xf numFmtId="169" fontId="4" fillId="0" borderId="54" xfId="1" applyNumberFormat="1" applyFont="1" applyFill="1" applyBorder="1" applyAlignment="1">
      <alignment vertical="center"/>
    </xf>
    <xf numFmtId="169" fontId="6" fillId="0" borderId="54" xfId="0" applyNumberFormat="1" applyFont="1" applyBorder="1"/>
    <xf numFmtId="169" fontId="6" fillId="3" borderId="54" xfId="0" applyNumberFormat="1" applyFont="1" applyFill="1" applyBorder="1"/>
    <xf numFmtId="169" fontId="16" fillId="2" borderId="54" xfId="2" applyNumberFormat="1" applyFont="1" applyFill="1" applyBorder="1" applyAlignment="1">
      <alignment horizontal="left" vertical="center" wrapText="1" readingOrder="1"/>
    </xf>
    <xf numFmtId="168" fontId="6" fillId="0" borderId="54" xfId="2" applyNumberFormat="1" applyFont="1" applyBorder="1" applyAlignment="1">
      <alignment vertical="center"/>
    </xf>
    <xf numFmtId="168" fontId="6" fillId="3" borderId="54" xfId="2" applyNumberFormat="1" applyFont="1" applyFill="1" applyBorder="1" applyAlignment="1">
      <alignment vertical="center"/>
    </xf>
    <xf numFmtId="3" fontId="16" fillId="2" borderId="54" xfId="2" applyNumberFormat="1" applyFont="1" applyFill="1" applyBorder="1" applyAlignment="1">
      <alignment horizontal="center" vertical="center" wrapText="1" readingOrder="1"/>
    </xf>
    <xf numFmtId="3" fontId="16" fillId="2" borderId="54" xfId="2" applyNumberFormat="1" applyFont="1" applyFill="1" applyBorder="1" applyAlignment="1">
      <alignment horizontal="center" wrapText="1" readingOrder="1"/>
    </xf>
    <xf numFmtId="171" fontId="10" fillId="3" borderId="54" xfId="2" applyNumberFormat="1" applyFont="1" applyFill="1" applyBorder="1" applyAlignment="1">
      <alignment horizontal="right" vertical="center" wrapText="1" readingOrder="1"/>
    </xf>
    <xf numFmtId="169" fontId="6" fillId="0" borderId="0" xfId="0" applyNumberFormat="1" applyFont="1"/>
    <xf numFmtId="169" fontId="10" fillId="0" borderId="20" xfId="1" applyNumberFormat="1" applyFont="1" applyBorder="1" applyAlignment="1">
      <alignment horizontal="center" vertical="center" wrapText="1" readingOrder="1"/>
    </xf>
    <xf numFmtId="169" fontId="4" fillId="3" borderId="54" xfId="2" applyNumberFormat="1" applyFont="1" applyFill="1" applyBorder="1" applyAlignment="1">
      <alignment horizontal="center" vertical="center"/>
    </xf>
    <xf numFmtId="14" fontId="6" fillId="0" borderId="54" xfId="0" applyNumberFormat="1" applyFont="1" applyBorder="1" applyAlignment="1">
      <alignment horizontal="center" vertical="center"/>
    </xf>
    <xf numFmtId="169" fontId="4" fillId="8" borderId="54" xfId="1" applyNumberFormat="1" applyFont="1" applyFill="1" applyBorder="1" applyAlignment="1">
      <alignment horizontal="center" vertical="center" wrapText="1"/>
    </xf>
    <xf numFmtId="3" fontId="4" fillId="3" borderId="54" xfId="1" applyNumberFormat="1" applyFont="1" applyFill="1" applyBorder="1" applyAlignment="1">
      <alignment horizontal="right" vertical="center" wrapText="1"/>
    </xf>
    <xf numFmtId="9" fontId="29" fillId="0" borderId="0" xfId="5" applyFont="1"/>
    <xf numFmtId="9" fontId="6" fillId="3" borderId="20" xfId="5" applyFont="1" applyFill="1" applyBorder="1" applyAlignment="1">
      <alignment horizontal="center" vertical="center" wrapText="1"/>
    </xf>
    <xf numFmtId="9" fontId="6" fillId="0" borderId="21" xfId="5" applyFont="1" applyFill="1" applyBorder="1" applyAlignment="1">
      <alignment horizontal="center" vertical="center" wrapText="1"/>
    </xf>
    <xf numFmtId="9" fontId="4" fillId="3" borderId="20" xfId="5" applyFont="1" applyFill="1" applyBorder="1" applyAlignment="1">
      <alignment horizontal="center" vertical="center" wrapText="1"/>
    </xf>
    <xf numFmtId="0" fontId="2" fillId="2" borderId="20" xfId="0" applyFont="1" applyFill="1" applyBorder="1" applyAlignment="1">
      <alignment vertical="center" wrapText="1"/>
    </xf>
    <xf numFmtId="169" fontId="4" fillId="8" borderId="54" xfId="2" applyNumberFormat="1" applyFont="1" applyFill="1" applyBorder="1" applyAlignment="1">
      <alignment horizontal="center" vertical="center"/>
    </xf>
    <xf numFmtId="0" fontId="6" fillId="3" borderId="54" xfId="0" applyFont="1" applyFill="1" applyBorder="1" applyAlignment="1">
      <alignment vertical="center" wrapText="1"/>
    </xf>
    <xf numFmtId="169" fontId="4" fillId="8" borderId="54" xfId="2" applyNumberFormat="1" applyFont="1" applyFill="1" applyBorder="1" applyAlignment="1">
      <alignment vertical="center"/>
    </xf>
    <xf numFmtId="169" fontId="4" fillId="8" borderId="54" xfId="1" applyNumberFormat="1" applyFont="1" applyFill="1" applyBorder="1" applyAlignment="1">
      <alignment horizontal="right" vertical="center"/>
    </xf>
    <xf numFmtId="169" fontId="4" fillId="8" borderId="54" xfId="0" applyNumberFormat="1" applyFont="1" applyFill="1" applyBorder="1" applyAlignment="1">
      <alignment horizontal="center" vertical="center"/>
    </xf>
    <xf numFmtId="169" fontId="4" fillId="8" borderId="54" xfId="2" applyNumberFormat="1" applyFont="1" applyFill="1" applyBorder="1" applyAlignment="1">
      <alignment horizontal="right" vertical="center"/>
    </xf>
    <xf numFmtId="14" fontId="4" fillId="8" borderId="54" xfId="0" applyNumberFormat="1" applyFont="1" applyFill="1" applyBorder="1" applyAlignment="1">
      <alignment horizontal="center" vertical="center"/>
    </xf>
    <xf numFmtId="0" fontId="10" fillId="3" borderId="54" xfId="9" applyFont="1" applyFill="1" applyBorder="1" applyAlignment="1">
      <alignment horizontal="center" vertical="center" wrapText="1"/>
    </xf>
    <xf numFmtId="169" fontId="10" fillId="8" borderId="54" xfId="2" applyNumberFormat="1" applyFont="1" applyFill="1" applyBorder="1" applyAlignment="1">
      <alignment horizontal="center" vertical="center"/>
    </xf>
    <xf numFmtId="0" fontId="10" fillId="3" borderId="54" xfId="0" applyFont="1" applyFill="1" applyBorder="1" applyAlignment="1">
      <alignment horizontal="center" vertical="center" wrapText="1"/>
    </xf>
    <xf numFmtId="0" fontId="10" fillId="3" borderId="54" xfId="0" applyFont="1" applyFill="1" applyBorder="1" applyAlignment="1">
      <alignment horizontal="left" vertical="center" wrapText="1"/>
    </xf>
    <xf numFmtId="169" fontId="17" fillId="8" borderId="54" xfId="2" applyNumberFormat="1" applyFont="1" applyFill="1" applyBorder="1" applyAlignment="1">
      <alignment horizontal="right" vertical="center"/>
    </xf>
    <xf numFmtId="167" fontId="5" fillId="0" borderId="54" xfId="0" applyNumberFormat="1" applyFont="1" applyBorder="1" applyAlignment="1">
      <alignment vertical="center" wrapText="1"/>
    </xf>
    <xf numFmtId="178" fontId="5" fillId="3" borderId="54" xfId="0" applyNumberFormat="1" applyFont="1" applyFill="1" applyBorder="1" applyAlignment="1">
      <alignment horizontal="right" vertical="center" wrapText="1"/>
    </xf>
    <xf numFmtId="3" fontId="10" fillId="3" borderId="21" xfId="2" applyNumberFormat="1" applyFont="1" applyFill="1" applyBorder="1" applyAlignment="1">
      <alignment horizontal="center" vertical="center" wrapText="1" readingOrder="1"/>
    </xf>
    <xf numFmtId="14" fontId="10" fillId="6" borderId="21" xfId="0" applyNumberFormat="1" applyFont="1" applyFill="1" applyBorder="1" applyAlignment="1">
      <alignment horizontal="center" vertical="center" wrapText="1" readingOrder="1"/>
    </xf>
    <xf numFmtId="166" fontId="10" fillId="7" borderId="21" xfId="4" applyNumberFormat="1" applyFont="1" applyFill="1" applyBorder="1" applyAlignment="1">
      <alignment horizontal="center" vertical="center" wrapText="1"/>
    </xf>
    <xf numFmtId="14" fontId="10" fillId="3" borderId="57" xfId="0" applyNumberFormat="1" applyFont="1" applyFill="1" applyBorder="1" applyAlignment="1">
      <alignment horizontal="center" vertical="center" wrapText="1" readingOrder="1"/>
    </xf>
    <xf numFmtId="3" fontId="10" fillId="6" borderId="21" xfId="0" applyNumberFormat="1" applyFont="1" applyFill="1" applyBorder="1" applyAlignment="1">
      <alignment horizontal="center" vertical="center" wrapText="1" readingOrder="1"/>
    </xf>
    <xf numFmtId="169" fontId="2" fillId="2" borderId="20" xfId="1" applyNumberFormat="1" applyFont="1" applyFill="1" applyBorder="1" applyAlignment="1">
      <alignment horizontal="center" vertical="center" wrapText="1"/>
    </xf>
    <xf numFmtId="0" fontId="11" fillId="3" borderId="21" xfId="0" applyFont="1" applyFill="1" applyBorder="1" applyAlignment="1">
      <alignment horizontal="center" vertical="center"/>
    </xf>
    <xf numFmtId="3" fontId="10" fillId="6" borderId="54" xfId="0" applyNumberFormat="1" applyFont="1" applyFill="1" applyBorder="1" applyAlignment="1">
      <alignment horizontal="center" vertical="center" wrapText="1" readingOrder="1"/>
    </xf>
    <xf numFmtId="3" fontId="10" fillId="3" borderId="54" xfId="0" applyNumberFormat="1" applyFont="1" applyFill="1" applyBorder="1" applyAlignment="1">
      <alignment horizontal="center" vertical="center"/>
    </xf>
    <xf numFmtId="0" fontId="11" fillId="0" borderId="20" xfId="0" applyFont="1" applyBorder="1" applyAlignment="1">
      <alignment horizontal="center" vertical="center"/>
    </xf>
    <xf numFmtId="166" fontId="10" fillId="7" borderId="54" xfId="4" applyNumberFormat="1" applyFont="1" applyFill="1" applyBorder="1" applyAlignment="1">
      <alignment horizontal="center" vertical="center" wrapText="1"/>
    </xf>
    <xf numFmtId="0" fontId="10" fillId="3" borderId="54" xfId="0" applyFont="1" applyFill="1" applyBorder="1" applyAlignment="1">
      <alignment horizontal="center" vertical="center"/>
    </xf>
    <xf numFmtId="3" fontId="10" fillId="3" borderId="54" xfId="0" applyNumberFormat="1" applyFont="1" applyFill="1" applyBorder="1" applyAlignment="1">
      <alignment vertical="center"/>
    </xf>
    <xf numFmtId="171" fontId="10" fillId="3" borderId="54" xfId="7" applyNumberFormat="1" applyFont="1" applyFill="1" applyBorder="1" applyAlignment="1">
      <alignment horizontal="right" vertical="center" wrapText="1" readingOrder="1"/>
    </xf>
    <xf numFmtId="167" fontId="5" fillId="3" borderId="54" xfId="7" applyNumberFormat="1" applyFont="1" applyFill="1" applyBorder="1" applyAlignment="1">
      <alignment horizontal="center" vertical="center"/>
    </xf>
    <xf numFmtId="168" fontId="6" fillId="3" borderId="54" xfId="1" applyNumberFormat="1" applyFont="1" applyFill="1" applyBorder="1" applyAlignment="1">
      <alignment vertical="center"/>
    </xf>
    <xf numFmtId="169" fontId="4" fillId="3" borderId="54" xfId="1" applyNumberFormat="1" applyFont="1" applyFill="1" applyBorder="1" applyAlignment="1">
      <alignment horizontal="center" vertical="center"/>
    </xf>
    <xf numFmtId="169" fontId="6" fillId="3" borderId="54" xfId="1" applyNumberFormat="1" applyFont="1" applyFill="1" applyBorder="1" applyAlignment="1">
      <alignment vertical="center"/>
    </xf>
    <xf numFmtId="3" fontId="6" fillId="3" borderId="54" xfId="5" applyNumberFormat="1" applyFont="1" applyFill="1" applyBorder="1" applyAlignment="1">
      <alignment horizontal="right" vertical="center"/>
    </xf>
    <xf numFmtId="3" fontId="6" fillId="3" borderId="54" xfId="14" applyNumberFormat="1" applyFont="1" applyFill="1" applyBorder="1" applyAlignment="1">
      <alignment vertical="center"/>
    </xf>
    <xf numFmtId="169" fontId="6" fillId="3" borderId="20" xfId="5" applyNumberFormat="1" applyFont="1" applyFill="1" applyBorder="1" applyAlignment="1">
      <alignment horizontal="center" vertical="center" wrapText="1"/>
    </xf>
    <xf numFmtId="169" fontId="6" fillId="3" borderId="21" xfId="1" applyNumberFormat="1" applyFont="1" applyFill="1" applyBorder="1" applyAlignment="1">
      <alignment vertical="center" wrapText="1"/>
    </xf>
    <xf numFmtId="169" fontId="6" fillId="3" borderId="13" xfId="1" applyNumberFormat="1" applyFont="1" applyFill="1" applyBorder="1" applyAlignment="1">
      <alignment vertical="center" wrapText="1"/>
    </xf>
    <xf numFmtId="169" fontId="6" fillId="3" borderId="21" xfId="0" applyNumberFormat="1" applyFont="1" applyFill="1" applyBorder="1" applyAlignment="1">
      <alignment vertical="center" wrapText="1"/>
    </xf>
    <xf numFmtId="171" fontId="0" fillId="3" borderId="0" xfId="0" applyNumberFormat="1" applyFill="1"/>
    <xf numFmtId="49" fontId="4" fillId="0" borderId="54" xfId="3" applyNumberFormat="1" applyFont="1" applyBorder="1" applyAlignment="1">
      <alignment horizontal="center" vertical="center" wrapText="1"/>
    </xf>
    <xf numFmtId="0" fontId="5" fillId="3" borderId="54" xfId="0" applyFont="1" applyFill="1" applyBorder="1" applyAlignment="1">
      <alignment horizontal="left" vertical="center" wrapText="1" readingOrder="1"/>
    </xf>
    <xf numFmtId="3" fontId="6" fillId="3" borderId="54" xfId="0" applyNumberFormat="1" applyFont="1" applyFill="1" applyBorder="1" applyAlignment="1">
      <alignment vertical="center"/>
    </xf>
    <xf numFmtId="3" fontId="6" fillId="0" borderId="54" xfId="0" applyNumberFormat="1" applyFont="1" applyBorder="1" applyAlignment="1">
      <alignment vertical="center"/>
    </xf>
    <xf numFmtId="0" fontId="5" fillId="0" borderId="54" xfId="0" applyFont="1" applyBorder="1" applyAlignment="1">
      <alignment horizontal="left" vertical="center" wrapText="1" readingOrder="1"/>
    </xf>
    <xf numFmtId="0" fontId="11" fillId="40" borderId="54" xfId="0" applyFont="1" applyFill="1" applyBorder="1" applyAlignment="1">
      <alignment horizontal="center" vertical="center"/>
    </xf>
    <xf numFmtId="0" fontId="11" fillId="40" borderId="54" xfId="0" applyFont="1" applyFill="1" applyBorder="1" applyAlignment="1">
      <alignment horizontal="center" vertical="center" wrapText="1"/>
    </xf>
    <xf numFmtId="169" fontId="6" fillId="0" borderId="20" xfId="1" applyNumberFormat="1" applyFont="1" applyBorder="1" applyAlignment="1">
      <alignment vertical="center" wrapText="1"/>
    </xf>
    <xf numFmtId="169" fontId="10" fillId="0" borderId="20" xfId="0" applyNumberFormat="1" applyFont="1" applyBorder="1" applyAlignment="1">
      <alignment vertical="center" wrapText="1"/>
    </xf>
    <xf numFmtId="169" fontId="6" fillId="0" borderId="21" xfId="1" applyNumberFormat="1" applyFont="1" applyBorder="1" applyAlignment="1">
      <alignment vertical="center" wrapText="1"/>
    </xf>
    <xf numFmtId="169" fontId="5" fillId="3" borderId="20" xfId="1" applyNumberFormat="1" applyFont="1" applyFill="1" applyBorder="1" applyAlignment="1">
      <alignment vertical="center" wrapText="1"/>
    </xf>
    <xf numFmtId="169" fontId="10" fillId="3" borderId="20" xfId="1" applyNumberFormat="1" applyFont="1" applyFill="1" applyBorder="1" applyAlignment="1">
      <alignment vertical="center" wrapText="1"/>
    </xf>
    <xf numFmtId="169" fontId="10" fillId="3" borderId="20" xfId="0" applyNumberFormat="1" applyFont="1" applyFill="1" applyBorder="1" applyAlignment="1">
      <alignment vertical="center" wrapText="1"/>
    </xf>
    <xf numFmtId="169" fontId="62" fillId="0" borderId="0" xfId="1" applyNumberFormat="1" applyFont="1" applyAlignment="1">
      <alignment horizontal="right"/>
    </xf>
    <xf numFmtId="3" fontId="10" fillId="6" borderId="54" xfId="7" applyNumberFormat="1" applyFont="1" applyFill="1" applyBorder="1" applyAlignment="1">
      <alignment horizontal="center" vertical="center" wrapText="1" readingOrder="1"/>
    </xf>
    <xf numFmtId="167" fontId="2" fillId="2" borderId="54" xfId="0" applyNumberFormat="1" applyFont="1" applyFill="1" applyBorder="1" applyAlignment="1">
      <alignment horizontal="center" vertical="top" wrapText="1"/>
    </xf>
    <xf numFmtId="0" fontId="2" fillId="2" borderId="21" xfId="0" applyFont="1" applyFill="1" applyBorder="1" applyAlignment="1">
      <alignment horizontal="center" vertical="center" wrapText="1"/>
    </xf>
    <xf numFmtId="164" fontId="2" fillId="2" borderId="54" xfId="1" applyFont="1" applyFill="1" applyBorder="1" applyAlignment="1">
      <alignment horizontal="center" vertical="center" wrapText="1"/>
    </xf>
    <xf numFmtId="174" fontId="2" fillId="2" borderId="54" xfId="1" applyNumberFormat="1" applyFont="1" applyFill="1" applyBorder="1" applyAlignment="1">
      <alignment horizontal="center" vertical="center" wrapText="1"/>
    </xf>
    <xf numFmtId="0" fontId="2" fillId="2" borderId="54" xfId="0" applyFont="1" applyFill="1" applyBorder="1" applyAlignment="1">
      <alignment horizontal="center" vertical="center" wrapText="1"/>
    </xf>
    <xf numFmtId="0" fontId="61" fillId="41" borderId="54" xfId="0" applyFont="1" applyFill="1" applyBorder="1" applyAlignment="1">
      <alignment horizontal="center" vertical="center" wrapText="1" readingOrder="1"/>
    </xf>
    <xf numFmtId="3" fontId="65" fillId="0" borderId="54" xfId="0" applyNumberFormat="1" applyFont="1" applyBorder="1" applyAlignment="1">
      <alignment horizontal="center" vertical="center" wrapText="1" readingOrder="1"/>
    </xf>
    <xf numFmtId="9" fontId="65" fillId="0" borderId="54" xfId="5" applyFont="1" applyBorder="1" applyAlignment="1">
      <alignment horizontal="center" vertical="center" wrapText="1" readingOrder="1"/>
    </xf>
    <xf numFmtId="3" fontId="61" fillId="0" borderId="54" xfId="0" applyNumberFormat="1" applyFont="1" applyBorder="1" applyAlignment="1">
      <alignment horizontal="center" vertical="center" wrapText="1" readingOrder="1"/>
    </xf>
    <xf numFmtId="9" fontId="61" fillId="0" borderId="54" xfId="0" applyNumberFormat="1" applyFont="1" applyBorder="1" applyAlignment="1">
      <alignment horizontal="center" vertical="center" wrapText="1" readingOrder="1"/>
    </xf>
    <xf numFmtId="3" fontId="10" fillId="3" borderId="20" xfId="9" applyNumberFormat="1" applyFont="1" applyFill="1" applyBorder="1" applyAlignment="1">
      <alignment horizontal="center" vertical="center"/>
    </xf>
    <xf numFmtId="169" fontId="10" fillId="3" borderId="54" xfId="1" applyNumberFormat="1" applyFont="1" applyFill="1" applyBorder="1" applyAlignment="1">
      <alignment vertical="center"/>
    </xf>
    <xf numFmtId="169" fontId="4" fillId="3" borderId="54" xfId="1" applyNumberFormat="1" applyFont="1" applyFill="1" applyBorder="1" applyAlignment="1">
      <alignment vertical="center" wrapText="1"/>
    </xf>
    <xf numFmtId="169" fontId="4" fillId="3" borderId="54" xfId="2" applyNumberFormat="1" applyFont="1" applyFill="1" applyBorder="1" applyAlignment="1">
      <alignment vertical="center" wrapText="1"/>
    </xf>
    <xf numFmtId="169" fontId="6" fillId="3" borderId="54" xfId="14" applyNumberFormat="1" applyFont="1" applyFill="1" applyBorder="1" applyAlignment="1">
      <alignment vertical="center" wrapText="1"/>
    </xf>
    <xf numFmtId="169" fontId="6" fillId="0" borderId="54" xfId="1" applyNumberFormat="1" applyFont="1" applyBorder="1" applyAlignment="1">
      <alignment vertical="center"/>
    </xf>
    <xf numFmtId="169" fontId="6" fillId="0" borderId="54" xfId="1" applyNumberFormat="1" applyFont="1" applyBorder="1" applyAlignment="1"/>
    <xf numFmtId="169" fontId="2" fillId="2" borderId="54" xfId="1" applyNumberFormat="1" applyFont="1" applyFill="1" applyBorder="1" applyAlignment="1">
      <alignment horizontal="center" vertical="center" wrapText="1"/>
    </xf>
    <xf numFmtId="169" fontId="6" fillId="0" borderId="54" xfId="1" applyNumberFormat="1" applyFont="1" applyFill="1" applyBorder="1" applyAlignment="1">
      <alignment horizontal="right" vertical="center" wrapText="1"/>
    </xf>
    <xf numFmtId="169" fontId="4" fillId="0" borderId="54" xfId="1" applyNumberFormat="1" applyFont="1" applyFill="1" applyBorder="1" applyAlignment="1">
      <alignment horizontal="right" vertical="center" wrapText="1"/>
    </xf>
    <xf numFmtId="169" fontId="4" fillId="0" borderId="21" xfId="1" applyNumberFormat="1" applyFont="1" applyFill="1" applyBorder="1" applyAlignment="1">
      <alignment horizontal="right" vertical="center" wrapText="1"/>
    </xf>
    <xf numFmtId="169" fontId="5" fillId="0" borderId="54" xfId="1" applyNumberFormat="1" applyFont="1" applyFill="1" applyBorder="1" applyAlignment="1">
      <alignment horizontal="right" vertical="center" wrapText="1"/>
    </xf>
    <xf numFmtId="169" fontId="6" fillId="0" borderId="21" xfId="1" applyNumberFormat="1" applyFont="1" applyFill="1" applyBorder="1" applyAlignment="1">
      <alignment horizontal="right" vertical="center" wrapText="1"/>
    </xf>
    <xf numFmtId="169" fontId="4" fillId="0" borderId="13" xfId="1" applyNumberFormat="1" applyFont="1" applyFill="1" applyBorder="1" applyAlignment="1">
      <alignment horizontal="right" vertical="center" wrapText="1"/>
    </xf>
    <xf numFmtId="169" fontId="10" fillId="0" borderId="54" xfId="1" applyNumberFormat="1" applyFont="1" applyFill="1" applyBorder="1" applyAlignment="1">
      <alignment horizontal="right" vertical="center" wrapText="1"/>
    </xf>
    <xf numFmtId="169" fontId="6" fillId="3" borderId="54" xfId="0" applyNumberFormat="1" applyFont="1" applyFill="1" applyBorder="1" applyAlignment="1">
      <alignment horizontal="right" vertical="center" wrapText="1"/>
    </xf>
    <xf numFmtId="164" fontId="6" fillId="0" borderId="54" xfId="0" applyNumberFormat="1" applyFont="1" applyBorder="1" applyAlignment="1">
      <alignment horizontal="right" vertical="center" wrapText="1"/>
    </xf>
    <xf numFmtId="164" fontId="6" fillId="3" borderId="54" xfId="0" applyNumberFormat="1" applyFont="1" applyFill="1" applyBorder="1" applyAlignment="1">
      <alignment horizontal="right" vertical="center" wrapText="1"/>
    </xf>
    <xf numFmtId="169" fontId="6" fillId="0" borderId="54" xfId="0" applyNumberFormat="1" applyFont="1" applyBorder="1" applyAlignment="1">
      <alignment horizontal="right" vertical="center" wrapText="1"/>
    </xf>
    <xf numFmtId="169" fontId="4" fillId="3" borderId="54" xfId="2" applyNumberFormat="1" applyFont="1" applyFill="1" applyBorder="1" applyAlignment="1">
      <alignment horizontal="right" vertical="center" wrapText="1"/>
    </xf>
    <xf numFmtId="169" fontId="5" fillId="3" borderId="54" xfId="2" applyNumberFormat="1" applyFont="1" applyFill="1" applyBorder="1" applyAlignment="1">
      <alignment horizontal="right" vertical="center" wrapText="1"/>
    </xf>
    <xf numFmtId="169" fontId="6" fillId="3" borderId="54" xfId="1" applyNumberFormat="1" applyFont="1" applyFill="1" applyBorder="1" applyAlignment="1">
      <alignment horizontal="right" vertical="center"/>
    </xf>
    <xf numFmtId="3" fontId="6" fillId="3" borderId="54" xfId="14" applyNumberFormat="1" applyFont="1" applyFill="1" applyBorder="1" applyAlignment="1">
      <alignment horizontal="right" vertical="center"/>
    </xf>
    <xf numFmtId="3" fontId="6" fillId="3" borderId="54" xfId="1" applyNumberFormat="1" applyFont="1" applyFill="1" applyBorder="1" applyAlignment="1">
      <alignment horizontal="right" vertical="center"/>
    </xf>
    <xf numFmtId="164" fontId="2" fillId="2" borderId="54" xfId="2" applyFont="1" applyFill="1" applyBorder="1" applyAlignment="1">
      <alignment horizontal="center" vertical="center" wrapText="1"/>
    </xf>
    <xf numFmtId="9" fontId="6" fillId="0" borderId="54" xfId="5" applyFont="1" applyFill="1" applyBorder="1" applyAlignment="1">
      <alignment horizontal="center" vertical="center"/>
    </xf>
    <xf numFmtId="169" fontId="6" fillId="0" borderId="54" xfId="1" applyNumberFormat="1" applyFont="1" applyFill="1" applyBorder="1" applyAlignment="1">
      <alignment horizontal="right" vertical="center"/>
    </xf>
    <xf numFmtId="172" fontId="6" fillId="0" borderId="54" xfId="5" applyNumberFormat="1" applyFont="1" applyFill="1" applyBorder="1" applyAlignment="1">
      <alignment horizontal="center" vertical="center"/>
    </xf>
    <xf numFmtId="9" fontId="15" fillId="2" borderId="54" xfId="5" applyFont="1" applyFill="1" applyBorder="1" applyAlignment="1">
      <alignment horizontal="center" vertical="center"/>
    </xf>
    <xf numFmtId="169" fontId="4" fillId="3" borderId="54" xfId="1" applyNumberFormat="1" applyFont="1" applyFill="1" applyBorder="1" applyAlignment="1">
      <alignment horizontal="right" vertical="center" wrapText="1"/>
    </xf>
    <xf numFmtId="3" fontId="6" fillId="3" borderId="54" xfId="0" applyNumberFormat="1" applyFont="1" applyFill="1" applyBorder="1" applyAlignment="1">
      <alignment horizontal="right" vertical="center"/>
    </xf>
    <xf numFmtId="169" fontId="6" fillId="0" borderId="54" xfId="1" applyNumberFormat="1" applyFont="1" applyFill="1" applyBorder="1" applyAlignment="1">
      <alignment vertical="center"/>
    </xf>
    <xf numFmtId="175" fontId="15" fillId="2" borderId="54" xfId="0" applyNumberFormat="1" applyFont="1" applyFill="1" applyBorder="1" applyAlignment="1">
      <alignment horizontal="right" vertical="center"/>
    </xf>
    <xf numFmtId="0" fontId="5" fillId="0" borderId="54" xfId="0" applyFont="1" applyBorder="1" applyAlignment="1">
      <alignment horizontal="center" vertical="center" wrapText="1" readingOrder="1"/>
    </xf>
    <xf numFmtId="0" fontId="5" fillId="3" borderId="54" xfId="0" applyFont="1" applyFill="1" applyBorder="1" applyAlignment="1">
      <alignment horizontal="center" vertical="center" wrapText="1" readingOrder="1"/>
    </xf>
    <xf numFmtId="2" fontId="5" fillId="3" borderId="54" xfId="0" applyNumberFormat="1" applyFont="1" applyFill="1" applyBorder="1" applyAlignment="1">
      <alignment horizontal="right" vertical="center" wrapText="1" readingOrder="1"/>
    </xf>
    <xf numFmtId="2" fontId="5" fillId="0" borderId="54" xfId="0" applyNumberFormat="1" applyFont="1" applyBorder="1" applyAlignment="1">
      <alignment horizontal="right" vertical="center" wrapText="1" readingOrder="1"/>
    </xf>
    <xf numFmtId="2" fontId="6" fillId="0" borderId="54" xfId="0" applyNumberFormat="1" applyFont="1" applyBorder="1" applyAlignment="1">
      <alignment horizontal="right"/>
    </xf>
    <xf numFmtId="164" fontId="5" fillId="0" borderId="54" xfId="1" applyFont="1" applyBorder="1" applyAlignment="1">
      <alignment horizontal="right" vertical="center" wrapText="1"/>
    </xf>
    <xf numFmtId="164" fontId="5" fillId="0" borderId="54" xfId="1" applyFont="1" applyBorder="1" applyAlignment="1">
      <alignment horizontal="right" vertical="center" wrapText="1" readingOrder="1"/>
    </xf>
    <xf numFmtId="0" fontId="2" fillId="2" borderId="54" xfId="0" applyFont="1" applyFill="1" applyBorder="1" applyAlignment="1">
      <alignment horizontal="center" vertical="center" wrapText="1" readingOrder="1"/>
    </xf>
    <xf numFmtId="0" fontId="11" fillId="0" borderId="0" xfId="0" applyFont="1" applyAlignment="1">
      <alignment horizontal="center" vertical="center" wrapText="1"/>
    </xf>
    <xf numFmtId="4" fontId="2" fillId="2" borderId="54" xfId="0" applyNumberFormat="1" applyFont="1" applyFill="1" applyBorder="1" applyAlignment="1">
      <alignment horizontal="center" vertical="center" wrapText="1" readingOrder="1"/>
    </xf>
    <xf numFmtId="0" fontId="66" fillId="42" borderId="54" xfId="0" applyFont="1" applyFill="1" applyBorder="1" applyAlignment="1">
      <alignment horizontal="center" vertical="center" wrapText="1" readingOrder="1"/>
    </xf>
    <xf numFmtId="3" fontId="66" fillId="42" borderId="55" xfId="0" applyNumberFormat="1" applyFont="1" applyFill="1" applyBorder="1" applyAlignment="1">
      <alignment horizontal="center" vertical="center" wrapText="1"/>
    </xf>
    <xf numFmtId="3" fontId="66" fillId="42" borderId="54" xfId="0" applyNumberFormat="1" applyFont="1" applyFill="1" applyBorder="1" applyAlignment="1">
      <alignment horizontal="center" vertical="center" wrapText="1"/>
    </xf>
    <xf numFmtId="3" fontId="6" fillId="0" borderId="54" xfId="0" applyNumberFormat="1" applyFont="1" applyBorder="1" applyAlignment="1">
      <alignment horizontal="center" vertical="center" wrapText="1"/>
    </xf>
    <xf numFmtId="3" fontId="5" fillId="0" borderId="54" xfId="0" applyNumberFormat="1" applyFont="1" applyBorder="1" applyAlignment="1">
      <alignment horizontal="right" vertical="center" wrapText="1" readingOrder="1"/>
    </xf>
    <xf numFmtId="10" fontId="5" fillId="0" borderId="54" xfId="0" applyNumberFormat="1" applyFont="1" applyBorder="1" applyAlignment="1">
      <alignment horizontal="center" vertical="center" wrapText="1" readingOrder="1"/>
    </xf>
    <xf numFmtId="3" fontId="6" fillId="3" borderId="54" xfId="1" applyNumberFormat="1" applyFont="1" applyFill="1" applyBorder="1" applyAlignment="1">
      <alignment horizontal="center" vertical="center" wrapText="1"/>
    </xf>
    <xf numFmtId="0" fontId="5" fillId="2" borderId="17" xfId="0" applyFont="1" applyFill="1" applyBorder="1" applyAlignment="1">
      <alignment horizontal="center" vertical="center" wrapText="1" readingOrder="1"/>
    </xf>
    <xf numFmtId="0" fontId="5" fillId="2" borderId="3" xfId="0" applyFont="1" applyFill="1" applyBorder="1" applyAlignment="1">
      <alignment horizontal="center" vertical="center" wrapText="1" readingOrder="1"/>
    </xf>
    <xf numFmtId="3" fontId="5" fillId="0" borderId="54" xfId="0" applyNumberFormat="1" applyFont="1" applyBorder="1" applyAlignment="1">
      <alignment horizontal="center" vertical="center" wrapText="1" readingOrder="1"/>
    </xf>
    <xf numFmtId="0" fontId="5" fillId="43" borderId="54" xfId="0" applyFont="1" applyFill="1" applyBorder="1" applyAlignment="1">
      <alignment horizontal="center" vertical="center" wrapText="1" readingOrder="1"/>
    </xf>
    <xf numFmtId="3" fontId="5" fillId="43" borderId="54" xfId="0" applyNumberFormat="1" applyFont="1" applyFill="1" applyBorder="1" applyAlignment="1">
      <alignment horizontal="center" vertical="center" wrapText="1" readingOrder="1"/>
    </xf>
    <xf numFmtId="0" fontId="2" fillId="0" borderId="13" xfId="0" applyFont="1" applyBorder="1" applyAlignment="1">
      <alignment horizontal="center" vertical="center" wrapText="1" readingOrder="1"/>
    </xf>
    <xf numFmtId="3" fontId="2" fillId="0" borderId="54" xfId="0" applyNumberFormat="1" applyFont="1" applyBorder="1" applyAlignment="1">
      <alignment horizontal="center" vertical="center" wrapText="1" readingOrder="1"/>
    </xf>
    <xf numFmtId="3" fontId="6" fillId="3" borderId="54" xfId="2" applyNumberFormat="1" applyFont="1" applyFill="1" applyBorder="1" applyAlignment="1">
      <alignment horizontal="right" vertical="center" wrapText="1"/>
    </xf>
    <xf numFmtId="0" fontId="67" fillId="0" borderId="0" xfId="0" quotePrefix="1" applyFont="1" applyAlignment="1">
      <alignment vertical="top" wrapText="1"/>
    </xf>
    <xf numFmtId="0" fontId="11" fillId="0" borderId="0" xfId="0" applyFont="1" applyAlignment="1">
      <alignment vertical="top"/>
    </xf>
    <xf numFmtId="3" fontId="11" fillId="0" borderId="0" xfId="0" applyNumberFormat="1" applyFont="1" applyAlignment="1">
      <alignment horizontal="right"/>
    </xf>
    <xf numFmtId="4" fontId="11" fillId="0" borderId="0" xfId="0" applyNumberFormat="1" applyFont="1"/>
    <xf numFmtId="3" fontId="2" fillId="2" borderId="54" xfId="0" applyNumberFormat="1" applyFont="1" applyFill="1" applyBorder="1" applyAlignment="1">
      <alignment horizontal="center" vertical="center" wrapText="1"/>
    </xf>
    <xf numFmtId="3" fontId="66" fillId="42" borderId="27" xfId="0" applyNumberFormat="1" applyFont="1" applyFill="1" applyBorder="1" applyAlignment="1">
      <alignment horizontal="center" vertical="center" wrapText="1"/>
    </xf>
    <xf numFmtId="3" fontId="6" fillId="3" borderId="54" xfId="0" applyNumberFormat="1" applyFont="1" applyFill="1" applyBorder="1" applyAlignment="1">
      <alignment horizontal="center" vertical="center" wrapText="1"/>
    </xf>
    <xf numFmtId="3" fontId="6" fillId="3" borderId="21" xfId="0" applyNumberFormat="1" applyFont="1" applyFill="1" applyBorder="1" applyAlignment="1">
      <alignment horizontal="right" vertical="center" wrapText="1" readingOrder="1"/>
    </xf>
    <xf numFmtId="3" fontId="6" fillId="3" borderId="54" xfId="2" applyNumberFormat="1" applyFont="1" applyFill="1" applyBorder="1" applyAlignment="1">
      <alignment horizontal="center" vertical="center" wrapText="1"/>
    </xf>
    <xf numFmtId="3" fontId="6" fillId="3" borderId="18" xfId="0" applyNumberFormat="1" applyFont="1" applyFill="1" applyBorder="1" applyAlignment="1">
      <alignment horizontal="right" vertical="center" wrapText="1" readingOrder="1"/>
    </xf>
    <xf numFmtId="3" fontId="5" fillId="3" borderId="54" xfId="0" applyNumberFormat="1" applyFont="1" applyFill="1" applyBorder="1" applyAlignment="1">
      <alignment horizontal="center" vertical="center" wrapText="1" readingOrder="1"/>
    </xf>
    <xf numFmtId="0" fontId="5" fillId="43" borderId="14" xfId="0" applyFont="1" applyFill="1" applyBorder="1" applyAlignment="1">
      <alignment horizontal="center" vertical="center" wrapText="1" readingOrder="1"/>
    </xf>
    <xf numFmtId="3" fontId="68" fillId="43" borderId="54" xfId="0" applyNumberFormat="1" applyFont="1" applyFill="1" applyBorder="1" applyAlignment="1">
      <alignment horizontal="right" vertical="center" wrapText="1" readingOrder="1"/>
    </xf>
    <xf numFmtId="0" fontId="2" fillId="0" borderId="54" xfId="0" applyFont="1" applyBorder="1" applyAlignment="1">
      <alignment vertical="center" wrapText="1" readingOrder="1"/>
    </xf>
    <xf numFmtId="3" fontId="2" fillId="0" borderId="54" xfId="0" applyNumberFormat="1" applyFont="1" applyBorder="1" applyAlignment="1">
      <alignment vertical="center" wrapText="1" readingOrder="1"/>
    </xf>
    <xf numFmtId="3" fontId="5" fillId="2" borderId="14" xfId="0" applyNumberFormat="1" applyFont="1" applyFill="1" applyBorder="1" applyAlignment="1">
      <alignment horizontal="center" vertical="center" wrapText="1" readingOrder="1"/>
    </xf>
    <xf numFmtId="3" fontId="2" fillId="0" borderId="54" xfId="0" applyNumberFormat="1" applyFont="1" applyBorder="1" applyAlignment="1">
      <alignment horizontal="right" vertical="center" wrapText="1" readingOrder="1"/>
    </xf>
    <xf numFmtId="3" fontId="15" fillId="0" borderId="54" xfId="0" applyNumberFormat="1" applyFont="1" applyBorder="1" applyAlignment="1">
      <alignment vertical="center" wrapText="1" readingOrder="1"/>
    </xf>
    <xf numFmtId="3" fontId="15" fillId="0" borderId="54" xfId="0" applyNumberFormat="1" applyFont="1" applyBorder="1" applyAlignment="1">
      <alignment horizontal="right" vertical="center" wrapText="1" readingOrder="1"/>
    </xf>
    <xf numFmtId="0" fontId="11" fillId="3" borderId="0" xfId="0" applyFont="1" applyFill="1" applyAlignment="1">
      <alignment vertical="top"/>
    </xf>
    <xf numFmtId="0" fontId="35" fillId="0" borderId="0" xfId="0" applyFont="1"/>
    <xf numFmtId="3" fontId="2" fillId="2" borderId="54" xfId="0" applyNumberFormat="1" applyFont="1" applyFill="1" applyBorder="1" applyAlignment="1">
      <alignment horizontal="center" vertical="center" wrapText="1" readingOrder="1"/>
    </xf>
    <xf numFmtId="10" fontId="2" fillId="2" borderId="54" xfId="0" applyNumberFormat="1" applyFont="1" applyFill="1" applyBorder="1" applyAlignment="1">
      <alignment horizontal="center" vertical="center" wrapText="1" readingOrder="1"/>
    </xf>
    <xf numFmtId="3" fontId="69" fillId="42" borderId="54" xfId="0" applyNumberFormat="1" applyFont="1" applyFill="1" applyBorder="1" applyAlignment="1">
      <alignment horizontal="center" vertical="center" wrapText="1"/>
    </xf>
    <xf numFmtId="0" fontId="69" fillId="42" borderId="54" xfId="0" applyFont="1" applyFill="1" applyBorder="1" applyAlignment="1">
      <alignment horizontal="center" vertical="center" wrapText="1" readingOrder="1"/>
    </xf>
    <xf numFmtId="3" fontId="69" fillId="42" borderId="54" xfId="0" applyNumberFormat="1" applyFont="1" applyFill="1" applyBorder="1" applyAlignment="1">
      <alignment horizontal="center" vertical="center" wrapText="1" readingOrder="1"/>
    </xf>
    <xf numFmtId="10" fontId="69" fillId="42" borderId="54" xfId="0" applyNumberFormat="1" applyFont="1" applyFill="1" applyBorder="1" applyAlignment="1">
      <alignment horizontal="center" vertical="center" wrapText="1" readingOrder="1"/>
    </xf>
    <xf numFmtId="0" fontId="5" fillId="0" borderId="27" xfId="0" applyFont="1" applyBorder="1" applyAlignment="1">
      <alignment horizontal="center" vertical="center" wrapText="1" readingOrder="1"/>
    </xf>
    <xf numFmtId="3" fontId="6" fillId="3" borderId="21" xfId="0" applyNumberFormat="1" applyFont="1" applyFill="1" applyBorder="1" applyAlignment="1">
      <alignment horizontal="right" vertical="center"/>
    </xf>
    <xf numFmtId="3" fontId="6" fillId="3" borderId="18" xfId="0" applyNumberFormat="1" applyFont="1" applyFill="1" applyBorder="1" applyAlignment="1">
      <alignment horizontal="right" vertical="center"/>
    </xf>
    <xf numFmtId="3" fontId="6" fillId="3" borderId="54" xfId="0" applyNumberFormat="1" applyFont="1" applyFill="1" applyBorder="1" applyAlignment="1">
      <alignment horizontal="center"/>
    </xf>
    <xf numFmtId="3" fontId="6" fillId="3" borderId="54" xfId="0" applyNumberFormat="1" applyFont="1" applyFill="1" applyBorder="1" applyAlignment="1">
      <alignment horizontal="right"/>
    </xf>
    <xf numFmtId="3" fontId="5" fillId="3" borderId="54" xfId="0" applyNumberFormat="1" applyFont="1" applyFill="1" applyBorder="1" applyAlignment="1">
      <alignment vertical="center" wrapText="1" readingOrder="1"/>
    </xf>
    <xf numFmtId="0" fontId="2" fillId="42" borderId="27" xfId="0" applyFont="1" applyFill="1" applyBorder="1" applyAlignment="1">
      <alignment horizontal="center" vertical="center" wrapText="1" readingOrder="1"/>
    </xf>
    <xf numFmtId="3" fontId="15" fillId="42" borderId="54" xfId="0" applyNumberFormat="1" applyFont="1" applyFill="1" applyBorder="1" applyAlignment="1">
      <alignment horizontal="center"/>
    </xf>
    <xf numFmtId="3" fontId="15" fillId="42" borderId="54" xfId="0" applyNumberFormat="1" applyFont="1" applyFill="1" applyBorder="1" applyAlignment="1">
      <alignment horizontal="right"/>
    </xf>
    <xf numFmtId="3" fontId="6" fillId="3" borderId="13" xfId="0" applyNumberFormat="1" applyFont="1" applyFill="1" applyBorder="1" applyAlignment="1">
      <alignment horizontal="right" vertical="center"/>
    </xf>
    <xf numFmtId="3" fontId="12" fillId="0" borderId="54" xfId="0" applyNumberFormat="1" applyFont="1" applyBorder="1" applyAlignment="1">
      <alignment horizontal="center"/>
    </xf>
    <xf numFmtId="3" fontId="12" fillId="0" borderId="54" xfId="0" applyNumberFormat="1" applyFont="1" applyBorder="1" applyAlignment="1">
      <alignment horizontal="right"/>
    </xf>
    <xf numFmtId="3" fontId="8" fillId="3" borderId="54" xfId="0" applyNumberFormat="1" applyFont="1" applyFill="1" applyBorder="1" applyAlignment="1">
      <alignment horizontal="right" vertical="center" wrapText="1"/>
    </xf>
    <xf numFmtId="10" fontId="12" fillId="0" borderId="54" xfId="0" applyNumberFormat="1" applyFont="1" applyBorder="1" applyAlignment="1">
      <alignment horizontal="center" vertical="center"/>
    </xf>
    <xf numFmtId="3" fontId="2" fillId="3" borderId="54" xfId="0" applyNumberFormat="1" applyFont="1" applyFill="1" applyBorder="1" applyAlignment="1">
      <alignment horizontal="right" vertical="center" wrapText="1"/>
    </xf>
    <xf numFmtId="10" fontId="15" fillId="0" borderId="54" xfId="0" applyNumberFormat="1" applyFont="1" applyBorder="1" applyAlignment="1">
      <alignment horizontal="center" vertical="center"/>
    </xf>
    <xf numFmtId="3" fontId="6" fillId="0" borderId="54" xfId="0" applyNumberFormat="1" applyFont="1" applyBorder="1" applyAlignment="1">
      <alignment horizontal="center"/>
    </xf>
    <xf numFmtId="3" fontId="5" fillId="3" borderId="21" xfId="0" applyNumberFormat="1" applyFont="1" applyFill="1" applyBorder="1" applyAlignment="1">
      <alignment horizontal="right" vertical="center" wrapText="1"/>
    </xf>
    <xf numFmtId="3" fontId="5" fillId="3" borderId="18" xfId="0" applyNumberFormat="1" applyFont="1" applyFill="1" applyBorder="1" applyAlignment="1">
      <alignment horizontal="right" vertical="center" wrapText="1"/>
    </xf>
    <xf numFmtId="3" fontId="5" fillId="3" borderId="13" xfId="0" applyNumberFormat="1" applyFont="1" applyFill="1" applyBorder="1" applyAlignment="1">
      <alignment horizontal="right" vertical="center" wrapText="1"/>
    </xf>
    <xf numFmtId="0" fontId="5" fillId="0" borderId="55" xfId="0" applyFont="1" applyBorder="1" applyAlignment="1">
      <alignment horizontal="center" vertical="center" wrapText="1" readingOrder="1"/>
    </xf>
    <xf numFmtId="3" fontId="6" fillId="3" borderId="15" xfId="0" applyNumberFormat="1" applyFont="1" applyFill="1" applyBorder="1" applyAlignment="1">
      <alignment horizontal="center"/>
    </xf>
    <xf numFmtId="3" fontId="6" fillId="3" borderId="13" xfId="0" applyNumberFormat="1" applyFont="1" applyFill="1" applyBorder="1" applyAlignment="1">
      <alignment horizontal="center"/>
    </xf>
    <xf numFmtId="3" fontId="5" fillId="3" borderId="55" xfId="0" applyNumberFormat="1" applyFont="1" applyFill="1" applyBorder="1" applyAlignment="1">
      <alignment vertical="center" wrapText="1" readingOrder="1"/>
    </xf>
    <xf numFmtId="3" fontId="2" fillId="44" borderId="54" xfId="0" applyNumberFormat="1" applyFont="1" applyFill="1" applyBorder="1" applyAlignment="1">
      <alignment horizontal="center" vertical="center" wrapText="1" readingOrder="1"/>
    </xf>
    <xf numFmtId="3" fontId="2" fillId="44" borderId="54" xfId="0" applyNumberFormat="1" applyFont="1" applyFill="1" applyBorder="1" applyAlignment="1">
      <alignment horizontal="right" vertical="center" wrapText="1" readingOrder="1"/>
    </xf>
    <xf numFmtId="3" fontId="2" fillId="44" borderId="13" xfId="0" applyNumberFormat="1" applyFont="1" applyFill="1" applyBorder="1" applyAlignment="1">
      <alignment vertical="center" wrapText="1" readingOrder="1"/>
    </xf>
    <xf numFmtId="10" fontId="2" fillId="44" borderId="13" xfId="0" applyNumberFormat="1" applyFont="1" applyFill="1" applyBorder="1" applyAlignment="1">
      <alignment horizontal="right" vertical="center" wrapText="1" readingOrder="1"/>
    </xf>
    <xf numFmtId="0" fontId="11" fillId="3" borderId="0" xfId="0" quotePrefix="1" applyFont="1" applyFill="1" applyAlignment="1">
      <alignment vertical="top" wrapText="1"/>
    </xf>
    <xf numFmtId="3" fontId="11" fillId="0" borderId="0" xfId="0" applyNumberFormat="1" applyFont="1" applyAlignment="1">
      <alignment horizontal="center"/>
    </xf>
    <xf numFmtId="0" fontId="35" fillId="0" borderId="0" xfId="0" applyFont="1" applyAlignment="1">
      <alignment vertical="center" wrapText="1"/>
    </xf>
    <xf numFmtId="0" fontId="35" fillId="0" borderId="0" xfId="0" applyFont="1" applyAlignment="1">
      <alignment vertical="center"/>
    </xf>
    <xf numFmtId="0" fontId="0" fillId="0" borderId="0" xfId="0" applyAlignment="1">
      <alignment horizontal="left" wrapText="1"/>
    </xf>
    <xf numFmtId="3" fontId="0" fillId="0" borderId="0" xfId="0" applyNumberFormat="1" applyAlignment="1">
      <alignment horizontal="right"/>
    </xf>
    <xf numFmtId="10" fontId="0" fillId="0" borderId="0" xfId="0" applyNumberFormat="1" applyAlignment="1">
      <alignment horizontal="center"/>
    </xf>
    <xf numFmtId="10" fontId="2" fillId="0" borderId="54" xfId="0" applyNumberFormat="1" applyFont="1" applyBorder="1" applyAlignment="1">
      <alignment horizontal="right" vertical="center" wrapText="1" readingOrder="1"/>
    </xf>
    <xf numFmtId="3" fontId="5" fillId="0" borderId="54" xfId="0" applyNumberFormat="1" applyFont="1" applyBorder="1" applyAlignment="1">
      <alignment horizontal="center" vertical="center" wrapText="1"/>
    </xf>
    <xf numFmtId="3" fontId="6" fillId="3" borderId="54" xfId="0" applyNumberFormat="1" applyFont="1" applyFill="1" applyBorder="1" applyAlignment="1">
      <alignment horizontal="center" vertical="center"/>
    </xf>
    <xf numFmtId="3" fontId="15" fillId="42" borderId="54" xfId="0" applyNumberFormat="1" applyFont="1" applyFill="1" applyBorder="1" applyAlignment="1">
      <alignment horizontal="center" vertical="center"/>
    </xf>
    <xf numFmtId="3" fontId="15" fillId="42" borderId="54" xfId="0" applyNumberFormat="1" applyFont="1" applyFill="1" applyBorder="1" applyAlignment="1">
      <alignment horizontal="right" vertical="center"/>
    </xf>
    <xf numFmtId="3" fontId="2" fillId="44" borderId="13" xfId="0" applyNumberFormat="1" applyFont="1" applyFill="1" applyBorder="1" applyAlignment="1">
      <alignment horizontal="right" vertical="center" wrapText="1" readingOrder="1"/>
    </xf>
    <xf numFmtId="10" fontId="2" fillId="44" borderId="13" xfId="0" applyNumberFormat="1" applyFont="1" applyFill="1" applyBorder="1" applyAlignment="1">
      <alignment horizontal="center" vertical="center" wrapText="1" readingOrder="1"/>
    </xf>
    <xf numFmtId="0" fontId="5" fillId="45" borderId="54" xfId="0" applyFont="1" applyFill="1" applyBorder="1" applyAlignment="1">
      <alignment horizontal="center" vertical="center" wrapText="1" readingOrder="1"/>
    </xf>
    <xf numFmtId="0" fontId="68" fillId="1" borderId="54" xfId="0" applyFont="1" applyFill="1" applyBorder="1" applyAlignment="1">
      <alignment horizontal="center" vertical="center" wrapText="1" readingOrder="1"/>
    </xf>
    <xf numFmtId="3" fontId="68" fillId="1" borderId="54" xfId="0" applyNumberFormat="1" applyFont="1" applyFill="1" applyBorder="1" applyAlignment="1">
      <alignment horizontal="right" vertical="center" wrapText="1" readingOrder="1"/>
    </xf>
    <xf numFmtId="3" fontId="66" fillId="2" borderId="54" xfId="0" applyNumberFormat="1" applyFont="1" applyFill="1" applyBorder="1" applyAlignment="1">
      <alignment horizontal="center" vertical="center" wrapText="1"/>
    </xf>
    <xf numFmtId="3" fontId="72" fillId="1" borderId="54" xfId="0" applyNumberFormat="1" applyFont="1" applyFill="1" applyBorder="1" applyAlignment="1">
      <alignment horizontal="right" vertical="center" wrapText="1" readingOrder="1"/>
    </xf>
    <xf numFmtId="3" fontId="2" fillId="3" borderId="54" xfId="0" applyNumberFormat="1" applyFont="1" applyFill="1" applyBorder="1" applyAlignment="1">
      <alignment horizontal="center" vertical="center" wrapText="1" readingOrder="1"/>
    </xf>
    <xf numFmtId="3" fontId="2" fillId="3" borderId="54" xfId="0" applyNumberFormat="1" applyFont="1" applyFill="1" applyBorder="1" applyAlignment="1">
      <alignment horizontal="right" vertical="center" wrapText="1" readingOrder="1"/>
    </xf>
    <xf numFmtId="10" fontId="2" fillId="0" borderId="54" xfId="0" applyNumberFormat="1" applyFont="1" applyBorder="1" applyAlignment="1">
      <alignment horizontal="center" vertical="center" wrapText="1" readingOrder="1"/>
    </xf>
    <xf numFmtId="0" fontId="68" fillId="43" borderId="55" xfId="0" applyFont="1" applyFill="1" applyBorder="1" applyAlignment="1">
      <alignment horizontal="center" vertical="center" wrapText="1" readingOrder="1"/>
    </xf>
    <xf numFmtId="0" fontId="68" fillId="2" borderId="17" xfId="0" applyFont="1" applyFill="1" applyBorder="1" applyAlignment="1">
      <alignment horizontal="center" vertical="center" wrapText="1" readingOrder="1"/>
    </xf>
    <xf numFmtId="0" fontId="68" fillId="2" borderId="3" xfId="0" applyFont="1" applyFill="1" applyBorder="1" applyAlignment="1">
      <alignment horizontal="center" vertical="center" wrapText="1" readingOrder="1"/>
    </xf>
    <xf numFmtId="0" fontId="68" fillId="46" borderId="54" xfId="0" applyFont="1" applyFill="1" applyBorder="1" applyAlignment="1">
      <alignment horizontal="center" vertical="center" wrapText="1" readingOrder="1"/>
    </xf>
    <xf numFmtId="3" fontId="68" fillId="46" borderId="54" xfId="0" applyNumberFormat="1" applyFont="1" applyFill="1" applyBorder="1" applyAlignment="1">
      <alignment horizontal="right" vertical="center" wrapText="1" readingOrder="1"/>
    </xf>
    <xf numFmtId="0" fontId="68" fillId="43" borderId="54" xfId="0" applyFont="1" applyFill="1" applyBorder="1" applyAlignment="1">
      <alignment horizontal="center" vertical="center" wrapText="1" readingOrder="1"/>
    </xf>
    <xf numFmtId="0" fontId="5" fillId="2" borderId="55" xfId="0" applyFont="1" applyFill="1" applyBorder="1" applyAlignment="1">
      <alignment vertical="center" wrapText="1" readingOrder="1"/>
    </xf>
    <xf numFmtId="7" fontId="17" fillId="3" borderId="54" xfId="3" applyNumberFormat="1" applyFont="1" applyFill="1" applyBorder="1" applyAlignment="1">
      <alignment horizontal="center" vertical="center" wrapText="1"/>
    </xf>
    <xf numFmtId="3" fontId="6" fillId="3" borderId="54" xfId="1" applyNumberFormat="1" applyFont="1" applyFill="1" applyBorder="1" applyAlignment="1">
      <alignment vertical="center"/>
    </xf>
    <xf numFmtId="3" fontId="6" fillId="3" borderId="54" xfId="0" applyNumberFormat="1" applyFont="1" applyFill="1" applyBorder="1" applyAlignment="1">
      <alignment vertical="center" wrapText="1"/>
    </xf>
    <xf numFmtId="169" fontId="6" fillId="3" borderId="54" xfId="1" applyNumberFormat="1" applyFont="1" applyFill="1" applyBorder="1" applyAlignment="1">
      <alignment horizontal="center" vertical="center"/>
    </xf>
    <xf numFmtId="3" fontId="6" fillId="0" borderId="21" xfId="1" applyNumberFormat="1" applyFont="1" applyFill="1" applyBorder="1" applyAlignment="1">
      <alignment vertical="center" wrapText="1"/>
    </xf>
    <xf numFmtId="169" fontId="6" fillId="0" borderId="54" xfId="14" applyNumberFormat="1" applyFont="1" applyFill="1" applyBorder="1" applyAlignment="1">
      <alignment vertical="center"/>
    </xf>
    <xf numFmtId="4" fontId="10" fillId="0" borderId="0" xfId="0" applyNumberFormat="1" applyFont="1" applyAlignment="1">
      <alignment horizontal="left" vertical="center" wrapText="1" readingOrder="1"/>
    </xf>
    <xf numFmtId="0" fontId="24" fillId="0" borderId="0" xfId="0" applyFont="1" applyAlignment="1">
      <alignment horizontal="center" vertical="center" wrapText="1"/>
    </xf>
    <xf numFmtId="169" fontId="6" fillId="3" borderId="21" xfId="1" applyNumberFormat="1" applyFont="1" applyFill="1" applyBorder="1" applyAlignment="1">
      <alignment vertical="center" wrapText="1"/>
    </xf>
    <xf numFmtId="169" fontId="6" fillId="3" borderId="13" xfId="1" applyNumberFormat="1" applyFont="1" applyFill="1" applyBorder="1" applyAlignment="1">
      <alignment vertical="center" wrapText="1"/>
    </xf>
    <xf numFmtId="169" fontId="10" fillId="3" borderId="21" xfId="0" applyNumberFormat="1" applyFont="1" applyFill="1" applyBorder="1" applyAlignment="1">
      <alignment vertical="center" wrapText="1"/>
    </xf>
    <xf numFmtId="169" fontId="10" fillId="3" borderId="13" xfId="0" applyNumberFormat="1" applyFont="1" applyFill="1" applyBorder="1" applyAlignment="1">
      <alignment vertical="center" wrapText="1"/>
    </xf>
    <xf numFmtId="169" fontId="4" fillId="3" borderId="21" xfId="1" applyNumberFormat="1" applyFont="1" applyFill="1" applyBorder="1" applyAlignment="1">
      <alignment vertical="center" wrapText="1"/>
    </xf>
    <xf numFmtId="169" fontId="4" fillId="3" borderId="13" xfId="1" applyNumberFormat="1" applyFont="1" applyFill="1" applyBorder="1" applyAlignment="1">
      <alignment vertical="center" wrapText="1"/>
    </xf>
    <xf numFmtId="169" fontId="4" fillId="3" borderId="54" xfId="1" applyNumberFormat="1" applyFont="1" applyFill="1" applyBorder="1" applyAlignment="1">
      <alignment vertical="center" wrapText="1"/>
    </xf>
    <xf numFmtId="169" fontId="4" fillId="3" borderId="54" xfId="2" applyNumberFormat="1" applyFont="1" applyFill="1" applyBorder="1" applyAlignment="1">
      <alignment horizontal="right" vertical="center" wrapText="1"/>
    </xf>
    <xf numFmtId="3" fontId="6" fillId="3" borderId="21" xfId="1" applyNumberFormat="1" applyFont="1" applyFill="1" applyBorder="1" applyAlignment="1">
      <alignment vertical="center"/>
    </xf>
    <xf numFmtId="3" fontId="6" fillId="3" borderId="18" xfId="1" applyNumberFormat="1" applyFont="1" applyFill="1" applyBorder="1" applyAlignment="1">
      <alignment vertical="center"/>
    </xf>
    <xf numFmtId="3" fontId="6" fillId="3" borderId="13" xfId="1" applyNumberFormat="1" applyFont="1" applyFill="1" applyBorder="1" applyAlignment="1">
      <alignment vertical="center"/>
    </xf>
    <xf numFmtId="169" fontId="6" fillId="3" borderId="18" xfId="1" applyNumberFormat="1" applyFont="1" applyFill="1" applyBorder="1" applyAlignment="1">
      <alignment vertical="center" wrapText="1"/>
    </xf>
    <xf numFmtId="3" fontId="4" fillId="3" borderId="21" xfId="12" applyNumberFormat="1" applyFont="1" applyFill="1" applyBorder="1" applyAlignment="1">
      <alignment horizontal="right" vertical="center" wrapText="1"/>
    </xf>
    <xf numFmtId="3" fontId="4" fillId="3" borderId="13" xfId="12" applyNumberFormat="1" applyFont="1" applyFill="1" applyBorder="1" applyAlignment="1">
      <alignment horizontal="right" vertical="center" wrapText="1"/>
    </xf>
    <xf numFmtId="0" fontId="2" fillId="2" borderId="21"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3" xfId="0" applyFont="1" applyFill="1" applyBorder="1" applyAlignment="1">
      <alignment horizontal="center" vertical="center" wrapText="1"/>
    </xf>
    <xf numFmtId="164" fontId="5" fillId="0" borderId="54" xfId="1" applyFont="1" applyBorder="1" applyAlignment="1">
      <alignment horizontal="right" vertical="center" wrapText="1"/>
    </xf>
    <xf numFmtId="164" fontId="5" fillId="0" borderId="54" xfId="1" applyFont="1" applyBorder="1" applyAlignment="1">
      <alignment horizontal="right" vertical="center" wrapText="1" readingOrder="1"/>
    </xf>
    <xf numFmtId="2" fontId="5" fillId="3" borderId="54" xfId="0" applyNumberFormat="1" applyFont="1" applyFill="1" applyBorder="1" applyAlignment="1">
      <alignment horizontal="right" vertical="center" wrapText="1" readingOrder="1"/>
    </xf>
    <xf numFmtId="164" fontId="5" fillId="3" borderId="54" xfId="1" applyFont="1" applyFill="1" applyBorder="1" applyAlignment="1">
      <alignment horizontal="right" vertical="center" wrapText="1" readingOrder="1"/>
    </xf>
    <xf numFmtId="169" fontId="2" fillId="2" borderId="55" xfId="1" applyNumberFormat="1" applyFont="1" applyFill="1" applyBorder="1" applyAlignment="1">
      <alignment horizontal="center" vertical="center" wrapText="1"/>
    </xf>
    <xf numFmtId="169" fontId="2" fillId="2" borderId="22" xfId="1" applyNumberFormat="1" applyFont="1" applyFill="1" applyBorder="1" applyAlignment="1">
      <alignment horizontal="center" vertical="center" wrapText="1"/>
    </xf>
    <xf numFmtId="169" fontId="2" fillId="2" borderId="27" xfId="1" applyNumberFormat="1" applyFont="1" applyFill="1" applyBorder="1" applyAlignment="1">
      <alignment horizontal="center" vertical="center" wrapText="1"/>
    </xf>
    <xf numFmtId="0" fontId="2" fillId="2" borderId="54" xfId="0" applyFont="1" applyFill="1" applyBorder="1" applyAlignment="1">
      <alignment horizontal="center" vertical="center" wrapText="1"/>
    </xf>
    <xf numFmtId="164" fontId="2" fillId="2" borderId="55" xfId="1" applyFont="1" applyFill="1" applyBorder="1" applyAlignment="1">
      <alignment horizontal="center" vertical="center" wrapText="1"/>
    </xf>
    <xf numFmtId="164" fontId="2" fillId="2" borderId="27" xfId="1" applyFont="1" applyFill="1" applyBorder="1" applyAlignment="1">
      <alignment horizontal="center" vertical="center" wrapText="1"/>
    </xf>
    <xf numFmtId="164" fontId="2" fillId="2" borderId="54" xfId="1" applyFont="1" applyFill="1" applyBorder="1" applyAlignment="1">
      <alignment horizontal="center" vertical="center" wrapText="1"/>
    </xf>
    <xf numFmtId="0" fontId="2" fillId="0" borderId="21"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3"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3" xfId="0" applyFont="1" applyBorder="1" applyAlignment="1">
      <alignment horizontal="center" vertical="center" wrapText="1"/>
    </xf>
    <xf numFmtId="169" fontId="4" fillId="3" borderId="18" xfId="1" applyNumberFormat="1" applyFont="1" applyFill="1" applyBorder="1" applyAlignment="1">
      <alignment vertical="center" wrapText="1"/>
    </xf>
    <xf numFmtId="9" fontId="6" fillId="3" borderId="21" xfId="5" applyFont="1" applyFill="1" applyBorder="1" applyAlignment="1">
      <alignment horizontal="center" vertical="center"/>
    </xf>
    <xf numFmtId="9" fontId="6" fillId="3" borderId="18" xfId="5" applyFont="1" applyFill="1" applyBorder="1" applyAlignment="1">
      <alignment horizontal="center" vertical="center"/>
    </xf>
    <xf numFmtId="9" fontId="6" fillId="3" borderId="13" xfId="5" applyFont="1" applyFill="1" applyBorder="1" applyAlignment="1">
      <alignment horizontal="center" vertical="center"/>
    </xf>
    <xf numFmtId="0" fontId="29" fillId="0" borderId="19" xfId="0" applyFont="1" applyBorder="1" applyAlignment="1">
      <alignment horizontal="center"/>
    </xf>
    <xf numFmtId="0" fontId="28" fillId="3" borderId="23" xfId="0" applyFont="1" applyFill="1" applyBorder="1" applyAlignment="1">
      <alignment horizontal="left" vertical="center" wrapText="1"/>
    </xf>
    <xf numFmtId="0" fontId="28" fillId="3" borderId="58" xfId="0" applyFont="1" applyFill="1" applyBorder="1" applyAlignment="1">
      <alignment horizontal="left" vertical="center" wrapText="1"/>
    </xf>
    <xf numFmtId="0" fontId="54" fillId="3" borderId="0" xfId="0" applyFont="1" applyFill="1" applyAlignment="1">
      <alignment horizontal="left" vertical="center" wrapText="1"/>
    </xf>
    <xf numFmtId="7" fontId="17" fillId="3" borderId="21" xfId="3" applyNumberFormat="1" applyFont="1" applyFill="1" applyBorder="1" applyAlignment="1">
      <alignment horizontal="center" vertical="center" wrapText="1"/>
    </xf>
    <xf numFmtId="7" fontId="17" fillId="3" borderId="18" xfId="3" applyNumberFormat="1" applyFont="1" applyFill="1" applyBorder="1" applyAlignment="1">
      <alignment horizontal="center" vertical="center" wrapText="1"/>
    </xf>
    <xf numFmtId="7" fontId="17" fillId="3" borderId="13" xfId="3" applyNumberFormat="1" applyFont="1" applyFill="1" applyBorder="1" applyAlignment="1">
      <alignment horizontal="center" vertical="center" wrapText="1"/>
    </xf>
    <xf numFmtId="169" fontId="6" fillId="0" borderId="21" xfId="1" applyNumberFormat="1" applyFont="1" applyFill="1" applyBorder="1" applyAlignment="1">
      <alignment horizontal="right" vertical="center" wrapText="1"/>
    </xf>
    <xf numFmtId="169" fontId="6" fillId="0" borderId="18" xfId="1" applyNumberFormat="1" applyFont="1" applyFill="1" applyBorder="1" applyAlignment="1">
      <alignment horizontal="right" vertical="center" wrapText="1"/>
    </xf>
    <xf numFmtId="169" fontId="6" fillId="0" borderId="13" xfId="1" applyNumberFormat="1" applyFont="1" applyFill="1" applyBorder="1" applyAlignment="1">
      <alignment horizontal="right" vertical="center" wrapText="1"/>
    </xf>
    <xf numFmtId="3" fontId="6" fillId="3" borderId="21" xfId="1" applyNumberFormat="1" applyFont="1" applyFill="1" applyBorder="1" applyAlignment="1">
      <alignment horizontal="right" vertical="center"/>
    </xf>
    <xf numFmtId="3" fontId="6" fillId="3" borderId="13" xfId="1" applyNumberFormat="1" applyFont="1" applyFill="1" applyBorder="1" applyAlignment="1">
      <alignment horizontal="right" vertical="center"/>
    </xf>
    <xf numFmtId="0" fontId="6" fillId="3" borderId="18" xfId="5" applyNumberFormat="1" applyFont="1" applyFill="1" applyBorder="1" applyAlignment="1">
      <alignment horizontal="center" vertical="center"/>
    </xf>
    <xf numFmtId="0" fontId="6" fillId="3" borderId="13" xfId="5" applyNumberFormat="1" applyFont="1" applyFill="1" applyBorder="1" applyAlignment="1">
      <alignment horizontal="center" vertical="center"/>
    </xf>
    <xf numFmtId="169" fontId="6" fillId="3" borderId="21" xfId="1" applyNumberFormat="1" applyFont="1" applyFill="1" applyBorder="1" applyAlignment="1">
      <alignment horizontal="right" vertical="center" wrapText="1"/>
    </xf>
    <xf numFmtId="169" fontId="6" fillId="3" borderId="18" xfId="1" applyNumberFormat="1" applyFont="1" applyFill="1" applyBorder="1" applyAlignment="1">
      <alignment horizontal="right" vertical="center" wrapText="1"/>
    </xf>
    <xf numFmtId="169" fontId="6" fillId="3" borderId="13" xfId="1" applyNumberFormat="1" applyFont="1" applyFill="1" applyBorder="1" applyAlignment="1">
      <alignment horizontal="right" vertical="center" wrapText="1"/>
    </xf>
    <xf numFmtId="3" fontId="6" fillId="3" borderId="18" xfId="1" applyNumberFormat="1" applyFont="1" applyFill="1" applyBorder="1" applyAlignment="1">
      <alignment horizontal="right" vertical="center"/>
    </xf>
    <xf numFmtId="3" fontId="6" fillId="3" borderId="20" xfId="1" applyNumberFormat="1" applyFont="1" applyFill="1" applyBorder="1" applyAlignment="1">
      <alignment horizontal="right" vertical="center"/>
    </xf>
    <xf numFmtId="169" fontId="4" fillId="0" borderId="21" xfId="1" applyNumberFormat="1" applyFont="1" applyFill="1" applyBorder="1" applyAlignment="1">
      <alignment horizontal="right" vertical="center" wrapText="1"/>
    </xf>
    <xf numFmtId="169" fontId="4" fillId="0" borderId="18" xfId="1" applyNumberFormat="1" applyFont="1" applyFill="1" applyBorder="1" applyAlignment="1">
      <alignment horizontal="right" vertical="center" wrapText="1"/>
    </xf>
    <xf numFmtId="169" fontId="4" fillId="0" borderId="13" xfId="1" applyNumberFormat="1" applyFont="1" applyFill="1" applyBorder="1" applyAlignment="1">
      <alignment horizontal="right" vertical="center" wrapText="1"/>
    </xf>
    <xf numFmtId="0" fontId="2" fillId="2" borderId="20" xfId="0" applyFont="1" applyFill="1" applyBorder="1" applyAlignment="1">
      <alignment horizontal="center" vertical="center" wrapText="1"/>
    </xf>
    <xf numFmtId="3" fontId="6" fillId="3" borderId="21" xfId="1" applyNumberFormat="1" applyFont="1" applyFill="1" applyBorder="1" applyAlignment="1">
      <alignment horizontal="right" vertical="center" wrapText="1"/>
    </xf>
    <xf numFmtId="3" fontId="6" fillId="3" borderId="13" xfId="1" applyNumberFormat="1" applyFont="1" applyFill="1" applyBorder="1" applyAlignment="1">
      <alignment horizontal="right" vertical="center" wrapText="1"/>
    </xf>
    <xf numFmtId="7" fontId="17" fillId="0" borderId="20" xfId="3" applyNumberFormat="1" applyFont="1" applyBorder="1" applyAlignment="1">
      <alignment horizontal="center" vertical="center" wrapText="1"/>
    </xf>
    <xf numFmtId="3" fontId="6" fillId="3" borderId="21" xfId="1" applyNumberFormat="1" applyFont="1" applyFill="1" applyBorder="1" applyAlignment="1">
      <alignment vertical="center" wrapText="1"/>
    </xf>
    <xf numFmtId="3" fontId="6" fillId="3" borderId="13" xfId="1" applyNumberFormat="1" applyFont="1" applyFill="1" applyBorder="1" applyAlignment="1">
      <alignment vertical="center" wrapText="1"/>
    </xf>
    <xf numFmtId="169" fontId="6" fillId="3" borderId="21" xfId="1" applyNumberFormat="1" applyFont="1" applyFill="1" applyBorder="1" applyAlignment="1">
      <alignment horizontal="center" vertical="center" wrapText="1"/>
    </xf>
    <xf numFmtId="169" fontId="6" fillId="3" borderId="13" xfId="1" applyNumberFormat="1" applyFont="1" applyFill="1" applyBorder="1" applyAlignment="1">
      <alignment horizontal="center" vertical="center" wrapText="1"/>
    </xf>
    <xf numFmtId="0" fontId="28" fillId="3" borderId="0" xfId="0" applyFont="1" applyFill="1" applyAlignment="1">
      <alignment horizontal="left" vertical="center" wrapText="1"/>
    </xf>
    <xf numFmtId="7" fontId="17" fillId="3" borderId="21" xfId="3" quotePrefix="1" applyNumberFormat="1" applyFont="1" applyFill="1" applyBorder="1" applyAlignment="1">
      <alignment horizontal="center" vertical="center" wrapText="1"/>
    </xf>
    <xf numFmtId="7" fontId="17" fillId="3" borderId="18" xfId="3" quotePrefix="1" applyNumberFormat="1" applyFont="1" applyFill="1" applyBorder="1" applyAlignment="1">
      <alignment horizontal="center" vertical="center" wrapText="1"/>
    </xf>
    <xf numFmtId="7" fontId="17" fillId="3" borderId="13" xfId="3" quotePrefix="1" applyNumberFormat="1" applyFont="1" applyFill="1" applyBorder="1" applyAlignment="1">
      <alignment horizontal="center" vertical="center" wrapText="1"/>
    </xf>
    <xf numFmtId="169" fontId="5" fillId="0" borderId="21" xfId="1" applyNumberFormat="1" applyFont="1" applyFill="1" applyBorder="1" applyAlignment="1">
      <alignment horizontal="right" vertical="center" wrapText="1"/>
    </xf>
    <xf numFmtId="169" fontId="5" fillId="0" borderId="13" xfId="1" applyNumberFormat="1" applyFont="1" applyFill="1" applyBorder="1" applyAlignment="1">
      <alignment horizontal="right" vertical="center" wrapText="1"/>
    </xf>
    <xf numFmtId="9" fontId="6" fillId="3" borderId="20" xfId="5" applyFont="1" applyFill="1" applyBorder="1" applyAlignment="1">
      <alignment horizontal="center" vertical="center"/>
    </xf>
    <xf numFmtId="0" fontId="6" fillId="0" borderId="20" xfId="0" applyFont="1" applyBorder="1" applyAlignment="1">
      <alignment horizontal="center"/>
    </xf>
    <xf numFmtId="7" fontId="17" fillId="0" borderId="20" xfId="3" quotePrefix="1" applyNumberFormat="1" applyFont="1" applyBorder="1" applyAlignment="1">
      <alignment horizontal="center" vertical="center" wrapText="1"/>
    </xf>
    <xf numFmtId="169" fontId="4" fillId="0" borderId="21" xfId="1" applyNumberFormat="1" applyFont="1" applyFill="1" applyBorder="1" applyAlignment="1">
      <alignment horizontal="center" vertical="center" wrapText="1"/>
    </xf>
    <xf numFmtId="169" fontId="4" fillId="0" borderId="13" xfId="1" applyNumberFormat="1" applyFont="1" applyFill="1" applyBorder="1" applyAlignment="1">
      <alignment horizontal="center" vertical="center" wrapText="1"/>
    </xf>
    <xf numFmtId="168" fontId="32" fillId="0" borderId="21" xfId="6" applyNumberFormat="1" applyFont="1" applyFill="1" applyBorder="1" applyAlignment="1">
      <alignment horizontal="right" vertical="center"/>
    </xf>
    <xf numFmtId="168" fontId="32" fillId="0" borderId="18" xfId="6" applyNumberFormat="1" applyFont="1" applyFill="1" applyBorder="1" applyAlignment="1">
      <alignment horizontal="right" vertical="center"/>
    </xf>
    <xf numFmtId="168" fontId="32" fillId="0" borderId="13" xfId="6" applyNumberFormat="1" applyFont="1" applyFill="1" applyBorder="1" applyAlignment="1">
      <alignment horizontal="right" vertical="center"/>
    </xf>
    <xf numFmtId="169" fontId="0" fillId="0" borderId="0" xfId="0" applyNumberFormat="1" applyAlignment="1">
      <alignment horizontal="center"/>
    </xf>
    <xf numFmtId="169" fontId="0" fillId="3" borderId="0" xfId="0" applyNumberFormat="1" applyFill="1" applyAlignment="1">
      <alignment horizontal="center"/>
    </xf>
    <xf numFmtId="0" fontId="0" fillId="3" borderId="0" xfId="0" applyFill="1" applyAlignment="1">
      <alignment horizontal="center"/>
    </xf>
    <xf numFmtId="0" fontId="6" fillId="3" borderId="20" xfId="5" applyNumberFormat="1" applyFont="1" applyFill="1" applyBorder="1" applyAlignment="1">
      <alignment horizontal="center" vertical="center"/>
    </xf>
    <xf numFmtId="9" fontId="6" fillId="0" borderId="54" xfId="5" applyFont="1" applyFill="1" applyBorder="1" applyAlignment="1">
      <alignment horizontal="center" vertical="center"/>
    </xf>
    <xf numFmtId="164" fontId="2" fillId="2" borderId="35" xfId="1" applyFont="1" applyFill="1" applyBorder="1" applyAlignment="1">
      <alignment horizontal="center" vertical="center" wrapText="1"/>
    </xf>
    <xf numFmtId="164" fontId="2" fillId="2" borderId="58" xfId="1" applyFont="1" applyFill="1" applyBorder="1" applyAlignment="1">
      <alignment horizontal="center" vertical="center" wrapText="1"/>
    </xf>
    <xf numFmtId="164" fontId="2" fillId="2" borderId="14" xfId="1" applyFont="1" applyFill="1" applyBorder="1" applyAlignment="1">
      <alignment horizontal="center" vertical="center" wrapText="1"/>
    </xf>
    <xf numFmtId="164" fontId="2" fillId="2" borderId="19" xfId="1" applyFont="1" applyFill="1" applyBorder="1" applyAlignment="1">
      <alignment horizontal="center" vertical="center" wrapText="1"/>
    </xf>
    <xf numFmtId="164" fontId="2" fillId="2" borderId="36" xfId="1" applyFont="1" applyFill="1" applyBorder="1" applyAlignment="1">
      <alignment horizontal="center" vertical="center" wrapText="1"/>
    </xf>
    <xf numFmtId="164" fontId="2" fillId="2" borderId="15" xfId="1" applyFont="1" applyFill="1" applyBorder="1" applyAlignment="1">
      <alignment horizontal="center" vertical="center" wrapText="1"/>
    </xf>
    <xf numFmtId="169" fontId="2" fillId="2" borderId="21" xfId="1" applyNumberFormat="1" applyFont="1" applyFill="1" applyBorder="1" applyAlignment="1">
      <alignment horizontal="center" vertical="center" wrapText="1"/>
    </xf>
    <xf numFmtId="169" fontId="2" fillId="2" borderId="13" xfId="1" applyNumberFormat="1" applyFont="1" applyFill="1" applyBorder="1" applyAlignment="1">
      <alignment horizontal="center" vertical="center" wrapText="1"/>
    </xf>
    <xf numFmtId="169" fontId="6" fillId="0" borderId="21" xfId="1" applyNumberFormat="1" applyFont="1" applyFill="1" applyBorder="1" applyAlignment="1">
      <alignment horizontal="center" vertical="center" wrapText="1"/>
    </xf>
    <xf numFmtId="169" fontId="6" fillId="0" borderId="18" xfId="1" applyNumberFormat="1" applyFont="1" applyFill="1" applyBorder="1" applyAlignment="1">
      <alignment horizontal="center" vertical="center" wrapText="1"/>
    </xf>
    <xf numFmtId="169" fontId="6" fillId="0" borderId="13" xfId="1" applyNumberFormat="1" applyFont="1" applyFill="1" applyBorder="1" applyAlignment="1">
      <alignment horizontal="center" vertical="center" wrapText="1"/>
    </xf>
    <xf numFmtId="3" fontId="4" fillId="3" borderId="20" xfId="12" applyNumberFormat="1" applyFont="1" applyFill="1" applyBorder="1" applyAlignment="1">
      <alignment horizontal="right" vertical="center" wrapText="1"/>
    </xf>
    <xf numFmtId="169" fontId="4" fillId="3" borderId="21" xfId="1" applyNumberFormat="1" applyFont="1" applyFill="1" applyBorder="1" applyAlignment="1">
      <alignment horizontal="center" vertical="center" wrapText="1"/>
    </xf>
    <xf numFmtId="169" fontId="4" fillId="3" borderId="18" xfId="1" applyNumberFormat="1" applyFont="1" applyFill="1" applyBorder="1" applyAlignment="1">
      <alignment horizontal="center" vertical="center" wrapText="1"/>
    </xf>
    <xf numFmtId="169" fontId="4" fillId="3" borderId="13" xfId="1" applyNumberFormat="1" applyFont="1" applyFill="1" applyBorder="1" applyAlignment="1">
      <alignment horizontal="center" vertical="center" wrapText="1"/>
    </xf>
    <xf numFmtId="3" fontId="4" fillId="3" borderId="21" xfId="2" applyNumberFormat="1" applyFont="1" applyFill="1" applyBorder="1" applyAlignment="1">
      <alignment vertical="center" wrapText="1"/>
    </xf>
    <xf numFmtId="3" fontId="4" fillId="3" borderId="13" xfId="2" applyNumberFormat="1" applyFont="1" applyFill="1" applyBorder="1" applyAlignment="1">
      <alignment vertical="center" wrapText="1"/>
    </xf>
    <xf numFmtId="169" fontId="4" fillId="3" borderId="21" xfId="2" applyNumberFormat="1" applyFont="1" applyFill="1" applyBorder="1" applyAlignment="1">
      <alignment vertical="center" wrapText="1"/>
    </xf>
    <xf numFmtId="169" fontId="4" fillId="3" borderId="13" xfId="2" applyNumberFormat="1" applyFont="1" applyFill="1" applyBorder="1" applyAlignment="1">
      <alignment vertical="center" wrapText="1"/>
    </xf>
    <xf numFmtId="169" fontId="6" fillId="3" borderId="21" xfId="1" applyNumberFormat="1" applyFont="1" applyFill="1" applyBorder="1" applyAlignment="1">
      <alignment horizontal="center" vertical="center"/>
    </xf>
    <xf numFmtId="169" fontId="6" fillId="3" borderId="13" xfId="1" applyNumberFormat="1" applyFont="1" applyFill="1" applyBorder="1" applyAlignment="1">
      <alignment horizontal="center" vertical="center"/>
    </xf>
    <xf numFmtId="0" fontId="28" fillId="3" borderId="0" xfId="0" applyFont="1" applyFill="1" applyAlignment="1">
      <alignment vertical="center" wrapText="1"/>
    </xf>
    <xf numFmtId="164" fontId="2" fillId="2" borderId="20" xfId="1" applyFont="1" applyFill="1" applyBorder="1" applyAlignment="1">
      <alignment horizontal="center" vertical="center" wrapText="1"/>
    </xf>
    <xf numFmtId="169" fontId="6" fillId="0" borderId="21" xfId="1" applyNumberFormat="1" applyFont="1" applyFill="1" applyBorder="1" applyAlignment="1">
      <alignment vertical="center" wrapText="1"/>
    </xf>
    <xf numFmtId="169" fontId="6" fillId="0" borderId="18" xfId="1" applyNumberFormat="1" applyFont="1" applyFill="1" applyBorder="1" applyAlignment="1">
      <alignment vertical="center" wrapText="1"/>
    </xf>
    <xf numFmtId="169" fontId="6" fillId="0" borderId="13" xfId="1" applyNumberFormat="1" applyFont="1" applyFill="1" applyBorder="1" applyAlignment="1">
      <alignment vertical="center" wrapText="1"/>
    </xf>
    <xf numFmtId="9" fontId="6" fillId="0" borderId="21" xfId="5" applyFont="1" applyFill="1" applyBorder="1" applyAlignment="1">
      <alignment horizontal="center" vertical="center"/>
    </xf>
    <xf numFmtId="9" fontId="6" fillId="0" borderId="18" xfId="5" applyFont="1" applyFill="1" applyBorder="1" applyAlignment="1">
      <alignment horizontal="center" vertical="center"/>
    </xf>
    <xf numFmtId="9" fontId="6" fillId="0" borderId="13" xfId="5" applyFont="1" applyFill="1" applyBorder="1" applyAlignment="1">
      <alignment horizontal="center" vertical="center"/>
    </xf>
    <xf numFmtId="169" fontId="6" fillId="0" borderId="21" xfId="1" applyNumberFormat="1" applyFont="1" applyFill="1" applyBorder="1" applyAlignment="1">
      <alignment horizontal="center" vertical="center"/>
    </xf>
    <xf numFmtId="169" fontId="6" fillId="0" borderId="18" xfId="1" applyNumberFormat="1" applyFont="1" applyFill="1" applyBorder="1" applyAlignment="1">
      <alignment horizontal="center" vertical="center"/>
    </xf>
    <xf numFmtId="169" fontId="6" fillId="0" borderId="13" xfId="1" applyNumberFormat="1" applyFont="1" applyFill="1" applyBorder="1" applyAlignment="1">
      <alignment horizontal="center" vertical="center"/>
    </xf>
    <xf numFmtId="169" fontId="6" fillId="0" borderId="21" xfId="1" applyNumberFormat="1" applyFont="1" applyFill="1" applyBorder="1" applyAlignment="1">
      <alignment vertical="center"/>
    </xf>
    <xf numFmtId="169" fontId="6" fillId="0" borderId="18" xfId="1" applyNumberFormat="1" applyFont="1" applyFill="1" applyBorder="1" applyAlignment="1">
      <alignment vertical="center"/>
    </xf>
    <xf numFmtId="169" fontId="6" fillId="0" borderId="13" xfId="1" applyNumberFormat="1" applyFont="1" applyFill="1" applyBorder="1" applyAlignment="1">
      <alignment vertical="center"/>
    </xf>
    <xf numFmtId="164" fontId="2" fillId="2" borderId="26" xfId="1" applyFont="1" applyFill="1" applyBorder="1" applyAlignment="1">
      <alignment horizontal="center" vertical="center" wrapText="1"/>
    </xf>
    <xf numFmtId="164" fontId="2" fillId="2" borderId="22" xfId="1" applyFont="1" applyFill="1" applyBorder="1" applyAlignment="1">
      <alignment horizontal="center" vertical="center" wrapText="1"/>
    </xf>
    <xf numFmtId="9" fontId="4" fillId="3" borderId="21" xfId="5" applyFont="1" applyFill="1" applyBorder="1" applyAlignment="1">
      <alignment horizontal="center" vertical="center" wrapText="1"/>
    </xf>
    <xf numFmtId="9" fontId="4" fillId="3" borderId="13" xfId="5" applyFont="1" applyFill="1" applyBorder="1" applyAlignment="1">
      <alignment horizontal="center" vertical="center" wrapText="1"/>
    </xf>
    <xf numFmtId="3" fontId="6" fillId="3" borderId="21" xfId="0" applyNumberFormat="1" applyFont="1" applyFill="1" applyBorder="1" applyAlignment="1">
      <alignment horizontal="right" vertical="center" wrapText="1"/>
    </xf>
    <xf numFmtId="3" fontId="6" fillId="3" borderId="13" xfId="0" applyNumberFormat="1" applyFont="1" applyFill="1" applyBorder="1" applyAlignment="1">
      <alignment horizontal="right" vertical="center" wrapText="1"/>
    </xf>
    <xf numFmtId="164" fontId="6" fillId="3" borderId="21" xfId="1" applyFont="1" applyFill="1" applyBorder="1" applyAlignment="1">
      <alignment horizontal="center" vertical="center"/>
    </xf>
    <xf numFmtId="164" fontId="6" fillId="3" borderId="13" xfId="1" applyFont="1" applyFill="1" applyBorder="1" applyAlignment="1">
      <alignment horizontal="center" vertical="center"/>
    </xf>
    <xf numFmtId="0" fontId="30" fillId="3" borderId="0" xfId="0" applyFont="1" applyFill="1" applyAlignment="1">
      <alignment horizontal="left" vertical="center"/>
    </xf>
    <xf numFmtId="0" fontId="29" fillId="0" borderId="19" xfId="0" applyFont="1" applyBorder="1" applyAlignment="1">
      <alignment horizontal="center" wrapText="1"/>
    </xf>
    <xf numFmtId="3" fontId="4" fillId="3" borderId="20" xfId="2" applyNumberFormat="1" applyFont="1" applyFill="1" applyBorder="1" applyAlignment="1">
      <alignment horizontal="right" vertical="center" wrapText="1"/>
    </xf>
    <xf numFmtId="172" fontId="6" fillId="0" borderId="20" xfId="5" applyNumberFormat="1" applyFont="1" applyFill="1" applyBorder="1" applyAlignment="1">
      <alignment horizontal="center" vertical="center"/>
    </xf>
    <xf numFmtId="3" fontId="10" fillId="0" borderId="20" xfId="2" applyNumberFormat="1" applyFont="1" applyFill="1" applyBorder="1" applyAlignment="1">
      <alignment horizontal="right" vertical="center" wrapText="1"/>
    </xf>
    <xf numFmtId="7" fontId="17" fillId="3" borderId="54" xfId="3" applyNumberFormat="1" applyFont="1" applyFill="1" applyBorder="1" applyAlignment="1">
      <alignment horizontal="center" vertical="center" wrapText="1"/>
    </xf>
    <xf numFmtId="3" fontId="4" fillId="3" borderId="54" xfId="1" applyNumberFormat="1" applyFont="1" applyFill="1" applyBorder="1" applyAlignment="1">
      <alignment vertical="center" wrapText="1"/>
    </xf>
    <xf numFmtId="3" fontId="4" fillId="3" borderId="21" xfId="1" applyNumberFormat="1" applyFont="1" applyFill="1" applyBorder="1" applyAlignment="1">
      <alignment vertical="center" wrapText="1"/>
    </xf>
    <xf numFmtId="3" fontId="4" fillId="3" borderId="18" xfId="1" applyNumberFormat="1" applyFont="1" applyFill="1" applyBorder="1" applyAlignment="1">
      <alignment vertical="center" wrapText="1"/>
    </xf>
    <xf numFmtId="3" fontId="4" fillId="3" borderId="13" xfId="1" applyNumberFormat="1" applyFont="1" applyFill="1" applyBorder="1" applyAlignment="1">
      <alignment vertical="center" wrapText="1"/>
    </xf>
    <xf numFmtId="3" fontId="6" fillId="3" borderId="54" xfId="1" applyNumberFormat="1" applyFont="1" applyFill="1" applyBorder="1" applyAlignment="1">
      <alignment vertical="center"/>
    </xf>
    <xf numFmtId="169" fontId="6" fillId="3" borderId="18" xfId="1" applyNumberFormat="1" applyFont="1" applyFill="1" applyBorder="1" applyAlignment="1">
      <alignment horizontal="center" vertical="center"/>
    </xf>
    <xf numFmtId="7" fontId="17" fillId="3" borderId="54" xfId="3" quotePrefix="1" applyNumberFormat="1" applyFont="1" applyFill="1" applyBorder="1" applyAlignment="1">
      <alignment horizontal="center" vertical="center" wrapText="1"/>
    </xf>
    <xf numFmtId="3" fontId="6" fillId="3" borderId="18" xfId="1" applyNumberFormat="1" applyFont="1" applyFill="1" applyBorder="1" applyAlignment="1">
      <alignment horizontal="right" vertical="center" wrapText="1"/>
    </xf>
    <xf numFmtId="9" fontId="6" fillId="3" borderId="54" xfId="5" applyFont="1" applyFill="1" applyBorder="1" applyAlignment="1">
      <alignment horizontal="center" vertical="center"/>
    </xf>
    <xf numFmtId="0" fontId="7" fillId="0" borderId="19" xfId="0" applyFont="1" applyBorder="1" applyAlignment="1">
      <alignment horizontal="center" vertical="center"/>
    </xf>
    <xf numFmtId="49" fontId="4" fillId="3" borderId="20" xfId="3" applyNumberFormat="1" applyFont="1" applyFill="1" applyBorder="1" applyAlignment="1">
      <alignment horizontal="center" vertical="center" wrapText="1"/>
    </xf>
    <xf numFmtId="0" fontId="5" fillId="3" borderId="21"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10" fillId="3" borderId="21" xfId="0" applyFont="1" applyFill="1" applyBorder="1" applyAlignment="1">
      <alignment horizontal="center" vertical="center" wrapText="1" readingOrder="1"/>
    </xf>
    <xf numFmtId="0" fontId="10" fillId="3" borderId="18" xfId="0" applyFont="1" applyFill="1" applyBorder="1" applyAlignment="1">
      <alignment horizontal="center" vertical="center" wrapText="1" readingOrder="1"/>
    </xf>
    <xf numFmtId="0" fontId="10" fillId="3" borderId="13" xfId="0" applyFont="1" applyFill="1" applyBorder="1" applyAlignment="1">
      <alignment horizontal="center" vertical="center" wrapText="1" readingOrder="1"/>
    </xf>
    <xf numFmtId="3" fontId="10" fillId="3" borderId="21" xfId="0" applyNumberFormat="1" applyFont="1" applyFill="1" applyBorder="1" applyAlignment="1">
      <alignment horizontal="right" vertical="center" wrapText="1" readingOrder="1"/>
    </xf>
    <xf numFmtId="3" fontId="10" fillId="3" borderId="18" xfId="0" applyNumberFormat="1" applyFont="1" applyFill="1" applyBorder="1" applyAlignment="1">
      <alignment horizontal="right" vertical="center" wrapText="1" readingOrder="1"/>
    </xf>
    <xf numFmtId="3" fontId="10" fillId="3" borderId="13" xfId="0" applyNumberFormat="1" applyFont="1" applyFill="1" applyBorder="1" applyAlignment="1">
      <alignment horizontal="right" vertical="center" wrapText="1" readingOrder="1"/>
    </xf>
    <xf numFmtId="0" fontId="5" fillId="3" borderId="20" xfId="0" applyFont="1" applyFill="1" applyBorder="1" applyAlignment="1">
      <alignment horizontal="left" vertical="center" wrapText="1"/>
    </xf>
    <xf numFmtId="3" fontId="10" fillId="3" borderId="54" xfId="0" applyNumberFormat="1" applyFont="1" applyFill="1" applyBorder="1" applyAlignment="1">
      <alignment horizontal="right" vertical="center" wrapText="1" readingOrder="1"/>
    </xf>
    <xf numFmtId="3" fontId="10" fillId="3" borderId="20" xfId="0" applyNumberFormat="1" applyFont="1" applyFill="1" applyBorder="1" applyAlignment="1">
      <alignment horizontal="right" vertical="center" wrapText="1" readingOrder="1"/>
    </xf>
    <xf numFmtId="49" fontId="4" fillId="3" borderId="54" xfId="3" applyNumberFormat="1" applyFont="1" applyFill="1" applyBorder="1" applyAlignment="1">
      <alignment horizontal="center" vertical="center" wrapText="1"/>
    </xf>
    <xf numFmtId="49" fontId="17" fillId="0" borderId="20" xfId="3" applyNumberFormat="1" applyFont="1" applyBorder="1" applyAlignment="1">
      <alignment horizontal="center" wrapText="1"/>
    </xf>
    <xf numFmtId="0" fontId="6" fillId="0" borderId="23" xfId="0" applyFont="1" applyBorder="1" applyAlignment="1">
      <alignment horizontal="left" vertical="center" wrapText="1"/>
    </xf>
    <xf numFmtId="0" fontId="5" fillId="3" borderId="20" xfId="0" applyFont="1" applyFill="1" applyBorder="1" applyAlignment="1">
      <alignment horizontal="left" vertical="center" wrapText="1" readingOrder="1"/>
    </xf>
    <xf numFmtId="0" fontId="5" fillId="3" borderId="21" xfId="0" applyFont="1" applyFill="1" applyBorder="1" applyAlignment="1">
      <alignment horizontal="left" vertical="center" wrapText="1" readingOrder="1"/>
    </xf>
    <xf numFmtId="0" fontId="5" fillId="3" borderId="13" xfId="0" applyFont="1" applyFill="1" applyBorder="1" applyAlignment="1">
      <alignment horizontal="left" vertical="center" wrapText="1" readingOrder="1"/>
    </xf>
    <xf numFmtId="167" fontId="10" fillId="3" borderId="31" xfId="2" applyNumberFormat="1" applyFont="1" applyFill="1" applyBorder="1" applyAlignment="1">
      <alignment horizontal="center" vertical="center" wrapText="1" readingOrder="1"/>
    </xf>
    <xf numFmtId="167" fontId="10" fillId="3" borderId="13" xfId="2" applyNumberFormat="1" applyFont="1" applyFill="1" applyBorder="1" applyAlignment="1">
      <alignment horizontal="center" vertical="center" wrapText="1" readingOrder="1"/>
    </xf>
    <xf numFmtId="0" fontId="6" fillId="3" borderId="54" xfId="0" applyFont="1" applyFill="1" applyBorder="1" applyAlignment="1">
      <alignment horizontal="center" vertical="center" wrapText="1"/>
    </xf>
    <xf numFmtId="3" fontId="6" fillId="3" borderId="54" xfId="0" applyNumberFormat="1" applyFont="1" applyFill="1" applyBorder="1" applyAlignment="1">
      <alignment horizontal="right" vertical="center"/>
    </xf>
    <xf numFmtId="0" fontId="6" fillId="3" borderId="54" xfId="0" applyFont="1" applyFill="1" applyBorder="1" applyAlignment="1">
      <alignment horizontal="right" vertical="center"/>
    </xf>
    <xf numFmtId="49" fontId="4" fillId="0" borderId="21" xfId="3" applyNumberFormat="1" applyFont="1" applyBorder="1" applyAlignment="1">
      <alignment horizontal="center" vertical="center" wrapText="1"/>
    </xf>
    <xf numFmtId="49" fontId="4" fillId="0" borderId="18" xfId="3" applyNumberFormat="1" applyFont="1" applyBorder="1" applyAlignment="1">
      <alignment horizontal="center" vertical="center" wrapText="1"/>
    </xf>
    <xf numFmtId="49" fontId="4" fillId="0" borderId="13" xfId="3" applyNumberFormat="1" applyFont="1" applyBorder="1" applyAlignment="1">
      <alignment horizontal="center" vertical="center" wrapText="1"/>
    </xf>
    <xf numFmtId="0" fontId="5" fillId="0" borderId="21" xfId="0" applyFont="1" applyBorder="1" applyAlignment="1">
      <alignment horizontal="center" vertical="center" wrapText="1" readingOrder="1"/>
    </xf>
    <xf numFmtId="0" fontId="5" fillId="0" borderId="18" xfId="0" applyFont="1" applyBorder="1" applyAlignment="1">
      <alignment horizontal="center" vertical="center" wrapText="1" readingOrder="1"/>
    </xf>
    <xf numFmtId="0" fontId="5" fillId="0" borderId="13" xfId="0" applyFont="1" applyBorder="1" applyAlignment="1">
      <alignment horizontal="center" vertical="center" wrapText="1" readingOrder="1"/>
    </xf>
    <xf numFmtId="0" fontId="5" fillId="0" borderId="21" xfId="0" applyFont="1" applyBorder="1" applyAlignment="1">
      <alignment horizontal="left" vertical="center" wrapText="1" readingOrder="1"/>
    </xf>
    <xf numFmtId="0" fontId="5" fillId="0" borderId="13" xfId="0" applyFont="1" applyBorder="1" applyAlignment="1">
      <alignment horizontal="left" vertical="center" wrapText="1" readingOrder="1"/>
    </xf>
    <xf numFmtId="0" fontId="5" fillId="3" borderId="21" xfId="0" applyFont="1" applyFill="1" applyBorder="1" applyAlignment="1">
      <alignment horizontal="center" vertical="center" wrapText="1" readingOrder="1"/>
    </xf>
    <xf numFmtId="0" fontId="5" fillId="3" borderId="13" xfId="0" applyFont="1" applyFill="1" applyBorder="1" applyAlignment="1">
      <alignment horizontal="center" vertical="center" wrapText="1" readingOrder="1"/>
    </xf>
    <xf numFmtId="0" fontId="10" fillId="0" borderId="54" xfId="0" applyFont="1" applyBorder="1" applyAlignment="1">
      <alignment horizontal="center" vertical="center" wrapText="1" readingOrder="1"/>
    </xf>
    <xf numFmtId="0" fontId="6" fillId="0" borderId="54" xfId="0" applyFont="1" applyBorder="1" applyAlignment="1">
      <alignment horizontal="center" vertical="center" wrapText="1"/>
    </xf>
    <xf numFmtId="0" fontId="10" fillId="0" borderId="21" xfId="0" applyFont="1" applyBorder="1" applyAlignment="1">
      <alignment horizontal="center" vertical="center" wrapText="1" readingOrder="1"/>
    </xf>
    <xf numFmtId="0" fontId="10" fillId="0" borderId="18"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6" fillId="0" borderId="55" xfId="0" applyFont="1" applyBorder="1" applyAlignment="1">
      <alignment horizontal="center" vertical="center" wrapText="1"/>
    </xf>
    <xf numFmtId="0" fontId="6" fillId="0" borderId="27" xfId="0" applyFont="1" applyBorder="1" applyAlignment="1">
      <alignment horizontal="center" vertical="center" wrapText="1"/>
    </xf>
    <xf numFmtId="0" fontId="5" fillId="0" borderId="18" xfId="0" applyFont="1" applyBorder="1" applyAlignment="1">
      <alignment horizontal="left" vertical="center" wrapText="1" readingOrder="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49" fontId="4" fillId="0" borderId="54" xfId="3" applyNumberFormat="1" applyFont="1" applyBorder="1" applyAlignment="1">
      <alignment horizontal="center" vertical="center" wrapText="1"/>
    </xf>
    <xf numFmtId="0" fontId="5" fillId="0" borderId="54" xfId="0" applyFont="1" applyBorder="1" applyAlignment="1">
      <alignment horizontal="left" vertical="center" wrapText="1" readingOrder="1"/>
    </xf>
    <xf numFmtId="0" fontId="15" fillId="3" borderId="54" xfId="9" applyFont="1" applyFill="1" applyBorder="1" applyAlignment="1">
      <alignment vertical="center" wrapText="1"/>
    </xf>
    <xf numFmtId="0" fontId="15" fillId="3" borderId="54" xfId="9" applyFont="1" applyFill="1" applyBorder="1" applyAlignment="1">
      <alignment horizontal="center" vertical="center" wrapText="1"/>
    </xf>
    <xf numFmtId="0" fontId="15" fillId="3" borderId="54" xfId="9" applyFont="1" applyFill="1" applyBorder="1" applyAlignment="1">
      <alignment horizontal="left" vertical="center" wrapText="1"/>
    </xf>
    <xf numFmtId="49" fontId="17" fillId="0" borderId="26" xfId="3" applyNumberFormat="1" applyFont="1" applyBorder="1" applyAlignment="1">
      <alignment horizontal="center" wrapText="1"/>
    </xf>
    <xf numFmtId="49" fontId="17" fillId="0" borderId="22" xfId="3" applyNumberFormat="1" applyFont="1" applyBorder="1" applyAlignment="1">
      <alignment horizontal="center" wrapText="1"/>
    </xf>
    <xf numFmtId="49" fontId="17" fillId="0" borderId="27" xfId="3" applyNumberFormat="1" applyFont="1" applyBorder="1" applyAlignment="1">
      <alignment horizontal="center" wrapText="1"/>
    </xf>
    <xf numFmtId="0" fontId="26" fillId="2" borderId="29" xfId="0" applyFont="1" applyFill="1" applyBorder="1" applyAlignment="1">
      <alignment horizontal="center" vertical="center" wrapText="1" readingOrder="1"/>
    </xf>
    <xf numFmtId="0" fontId="26" fillId="2" borderId="52" xfId="0" applyFont="1" applyFill="1" applyBorder="1" applyAlignment="1">
      <alignment horizontal="center" vertical="center" wrapText="1" readingOrder="1"/>
    </xf>
    <xf numFmtId="0" fontId="26" fillId="2" borderId="16" xfId="0" applyFont="1" applyFill="1" applyBorder="1" applyAlignment="1">
      <alignment horizontal="center" vertical="center" wrapText="1" readingOrder="1"/>
    </xf>
    <xf numFmtId="0" fontId="26" fillId="2" borderId="9" xfId="0" applyFont="1" applyFill="1" applyBorder="1" applyAlignment="1">
      <alignment horizontal="center" vertical="center" wrapText="1" readingOrder="1"/>
    </xf>
    <xf numFmtId="0" fontId="26" fillId="2" borderId="53" xfId="0" applyFont="1" applyFill="1" applyBorder="1" applyAlignment="1">
      <alignment horizontal="center" vertical="center" wrapText="1" readingOrder="1"/>
    </xf>
    <xf numFmtId="0" fontId="60" fillId="0" borderId="0" xfId="0" applyFont="1" applyAlignment="1">
      <alignment horizontal="center" vertical="center" readingOrder="1"/>
    </xf>
    <xf numFmtId="3" fontId="10" fillId="3" borderId="21" xfId="0" applyNumberFormat="1" applyFont="1" applyFill="1" applyBorder="1" applyAlignment="1">
      <alignment horizontal="center" vertical="center" wrapText="1" readingOrder="1"/>
    </xf>
    <xf numFmtId="3" fontId="10" fillId="3" borderId="13" xfId="0" applyNumberFormat="1" applyFont="1" applyFill="1" applyBorder="1" applyAlignment="1">
      <alignment horizontal="center" vertical="center" wrapText="1" readingOrder="1"/>
    </xf>
    <xf numFmtId="0" fontId="16" fillId="2" borderId="21" xfId="0" applyFont="1" applyFill="1" applyBorder="1" applyAlignment="1">
      <alignment horizontal="center" vertical="center" wrapText="1" readingOrder="1"/>
    </xf>
    <xf numFmtId="0" fontId="16" fillId="2" borderId="18" xfId="0" applyFont="1" applyFill="1" applyBorder="1" applyAlignment="1">
      <alignment horizontal="center" vertical="center" wrapText="1" readingOrder="1"/>
    </xf>
    <xf numFmtId="0" fontId="16" fillId="2" borderId="28" xfId="0" applyFont="1" applyFill="1" applyBorder="1" applyAlignment="1">
      <alignment horizontal="center" vertical="center" wrapText="1" readingOrder="1"/>
    </xf>
    <xf numFmtId="0" fontId="16" fillId="2" borderId="24" xfId="0" applyFont="1" applyFill="1" applyBorder="1" applyAlignment="1">
      <alignment horizontal="center" vertical="center" wrapText="1" readingOrder="1"/>
    </xf>
    <xf numFmtId="0" fontId="16" fillId="2" borderId="25" xfId="0" applyFont="1" applyFill="1" applyBorder="1" applyAlignment="1">
      <alignment horizontal="center" vertical="center" wrapText="1" readingOrder="1"/>
    </xf>
    <xf numFmtId="0" fontId="16" fillId="2" borderId="17" xfId="0" applyFont="1" applyFill="1" applyBorder="1" applyAlignment="1">
      <alignment horizontal="center" vertical="center" wrapText="1" readingOrder="1"/>
    </xf>
    <xf numFmtId="0" fontId="16" fillId="2" borderId="3" xfId="0" applyFont="1" applyFill="1" applyBorder="1" applyAlignment="1">
      <alignment horizontal="center" vertical="center" wrapText="1" readingOrder="1"/>
    </xf>
    <xf numFmtId="0" fontId="16" fillId="2" borderId="14" xfId="0" applyFont="1" applyFill="1" applyBorder="1" applyAlignment="1">
      <alignment horizontal="center" vertical="center" wrapText="1" readingOrder="1"/>
    </xf>
    <xf numFmtId="0" fontId="16" fillId="2" borderId="15" xfId="0" applyFont="1" applyFill="1" applyBorder="1" applyAlignment="1">
      <alignment horizontal="center" vertical="center" wrapText="1" readingOrder="1"/>
    </xf>
    <xf numFmtId="0" fontId="16" fillId="2" borderId="13" xfId="0" applyFont="1" applyFill="1" applyBorder="1" applyAlignment="1">
      <alignment horizontal="center" vertical="center" wrapText="1" readingOrder="1"/>
    </xf>
    <xf numFmtId="0" fontId="16" fillId="2" borderId="26" xfId="0" applyFont="1" applyFill="1" applyBorder="1" applyAlignment="1">
      <alignment horizontal="center" vertical="center" wrapText="1" readingOrder="1"/>
    </xf>
    <xf numFmtId="0" fontId="16" fillId="2" borderId="22" xfId="0" applyFont="1" applyFill="1" applyBorder="1" applyAlignment="1">
      <alignment horizontal="center" vertical="center" wrapText="1" readingOrder="1"/>
    </xf>
    <xf numFmtId="0" fontId="16" fillId="2" borderId="27" xfId="0" applyFont="1" applyFill="1" applyBorder="1" applyAlignment="1">
      <alignment horizontal="center" vertical="center" wrapText="1" readingOrder="1"/>
    </xf>
    <xf numFmtId="167" fontId="14" fillId="2" borderId="21" xfId="0" applyNumberFormat="1" applyFont="1" applyFill="1" applyBorder="1" applyAlignment="1">
      <alignment horizontal="center" vertical="center" wrapText="1"/>
    </xf>
    <xf numFmtId="167" fontId="14" fillId="2" borderId="18" xfId="0" applyNumberFormat="1" applyFont="1" applyFill="1" applyBorder="1" applyAlignment="1">
      <alignment horizontal="center" vertical="center" wrapText="1"/>
    </xf>
    <xf numFmtId="0" fontId="35" fillId="3" borderId="0" xfId="0" applyFont="1" applyFill="1" applyAlignment="1">
      <alignment horizontal="center" wrapText="1"/>
    </xf>
    <xf numFmtId="0" fontId="16" fillId="2" borderId="20" xfId="0" applyFont="1" applyFill="1" applyBorder="1" applyAlignment="1">
      <alignment horizontal="center" vertical="center" wrapText="1" readingOrder="1"/>
    </xf>
    <xf numFmtId="0" fontId="10" fillId="0" borderId="23" xfId="0" applyFont="1" applyBorder="1" applyAlignment="1">
      <alignment horizontal="left" vertical="center" readingOrder="1"/>
    </xf>
    <xf numFmtId="3" fontId="10" fillId="3" borderId="10" xfId="0" applyNumberFormat="1" applyFont="1" applyFill="1" applyBorder="1" applyAlignment="1">
      <alignment horizontal="right" vertical="center" wrapText="1" readingOrder="1"/>
    </xf>
    <xf numFmtId="3" fontId="10" fillId="3" borderId="11" xfId="0" applyNumberFormat="1" applyFont="1" applyFill="1" applyBorder="1" applyAlignment="1">
      <alignment horizontal="right" vertical="center" wrapText="1" readingOrder="1"/>
    </xf>
    <xf numFmtId="3" fontId="10" fillId="3" borderId="34" xfId="0" applyNumberFormat="1" applyFont="1" applyFill="1" applyBorder="1" applyAlignment="1">
      <alignment horizontal="center" vertical="center" wrapText="1" readingOrder="1"/>
    </xf>
    <xf numFmtId="3" fontId="10" fillId="3" borderId="0" xfId="0" applyNumberFormat="1" applyFont="1" applyFill="1" applyAlignment="1">
      <alignment horizontal="center" vertical="center" wrapText="1" readingOrder="1"/>
    </xf>
    <xf numFmtId="3" fontId="10" fillId="3" borderId="19" xfId="0" applyNumberFormat="1" applyFont="1" applyFill="1" applyBorder="1" applyAlignment="1">
      <alignment horizontal="center" vertical="center" wrapText="1" readingOrder="1"/>
    </xf>
    <xf numFmtId="0" fontId="10" fillId="0" borderId="48" xfId="0" applyFont="1" applyBorder="1" applyAlignment="1">
      <alignment horizontal="center" vertical="center" wrapText="1" readingOrder="1"/>
    </xf>
    <xf numFmtId="0" fontId="10" fillId="0" borderId="49" xfId="0" applyFont="1" applyBorder="1" applyAlignment="1">
      <alignment horizontal="center" vertical="center" wrapText="1" readingOrder="1"/>
    </xf>
    <xf numFmtId="0" fontId="10" fillId="0" borderId="50" xfId="0" applyFont="1" applyBorder="1" applyAlignment="1">
      <alignment horizontal="center" vertical="center" wrapText="1" readingOrder="1"/>
    </xf>
    <xf numFmtId="3" fontId="10" fillId="3" borderId="18" xfId="0" applyNumberFormat="1" applyFont="1" applyFill="1" applyBorder="1" applyAlignment="1">
      <alignment horizontal="center" vertical="center" wrapText="1" readingOrder="1"/>
    </xf>
    <xf numFmtId="0" fontId="10" fillId="0" borderId="0" xfId="0" applyFont="1" applyAlignment="1">
      <alignment horizontal="left" vertical="center" wrapText="1" readingOrder="1"/>
    </xf>
    <xf numFmtId="0" fontId="10" fillId="0" borderId="31" xfId="0" applyFont="1" applyBorder="1" applyAlignment="1">
      <alignment horizontal="center" vertical="center" wrapText="1" readingOrder="1"/>
    </xf>
    <xf numFmtId="0" fontId="52" fillId="0" borderId="23" xfId="0" applyFont="1" applyBorder="1" applyAlignment="1">
      <alignment horizontal="left" wrapText="1"/>
    </xf>
    <xf numFmtId="0" fontId="15" fillId="0" borderId="23" xfId="0" applyFont="1" applyBorder="1" applyAlignment="1">
      <alignment horizontal="left" wrapText="1"/>
    </xf>
    <xf numFmtId="0" fontId="16" fillId="2" borderId="35" xfId="0" applyFont="1" applyFill="1" applyBorder="1" applyAlignment="1">
      <alignment horizontal="center" vertical="center" wrapText="1" readingOrder="1"/>
    </xf>
    <xf numFmtId="0" fontId="16" fillId="2" borderId="36" xfId="0" applyFont="1" applyFill="1" applyBorder="1" applyAlignment="1">
      <alignment horizontal="center" vertical="center" wrapText="1" readingOrder="1"/>
    </xf>
    <xf numFmtId="0" fontId="12" fillId="0" borderId="12" xfId="0" applyFont="1" applyBorder="1" applyAlignment="1">
      <alignment horizontal="left" wrapText="1"/>
    </xf>
    <xf numFmtId="0" fontId="12" fillId="0" borderId="19" xfId="0" applyFont="1" applyBorder="1" applyAlignment="1">
      <alignment horizontal="left" wrapText="1"/>
    </xf>
    <xf numFmtId="0" fontId="28" fillId="3" borderId="0" xfId="0" applyFont="1" applyFill="1" applyAlignment="1">
      <alignment horizontal="left" wrapText="1"/>
    </xf>
    <xf numFmtId="0" fontId="28" fillId="3" borderId="23" xfId="0" applyFont="1" applyFill="1" applyBorder="1" applyAlignment="1">
      <alignment horizontal="left" wrapText="1"/>
    </xf>
    <xf numFmtId="0" fontId="10" fillId="3" borderId="0" xfId="0" quotePrefix="1" applyFont="1" applyFill="1" applyAlignment="1">
      <alignment horizontal="left" vertical="center" readingOrder="1"/>
    </xf>
    <xf numFmtId="0" fontId="15" fillId="0" borderId="19" xfId="0" applyFont="1" applyBorder="1" applyAlignment="1">
      <alignment horizontal="left" wrapText="1"/>
    </xf>
    <xf numFmtId="0" fontId="6" fillId="0" borderId="23" xfId="0" applyFont="1" applyBorder="1" applyAlignment="1">
      <alignment horizontal="center"/>
    </xf>
    <xf numFmtId="0" fontId="10" fillId="3" borderId="31" xfId="0" applyFont="1" applyFill="1" applyBorder="1" applyAlignment="1">
      <alignment horizontal="center" vertical="center" wrapText="1" readingOrder="1"/>
    </xf>
    <xf numFmtId="0" fontId="23" fillId="0" borderId="19" xfId="0" applyFont="1" applyBorder="1" applyAlignment="1">
      <alignment horizontal="left" vertical="top" wrapText="1"/>
    </xf>
    <xf numFmtId="0" fontId="23" fillId="0" borderId="19" xfId="0" applyFont="1" applyBorder="1" applyAlignment="1">
      <alignment horizontal="left" wrapText="1"/>
    </xf>
    <xf numFmtId="0" fontId="10" fillId="3" borderId="14" xfId="0" applyFont="1" applyFill="1" applyBorder="1" applyAlignment="1">
      <alignment horizontal="center" vertical="center" wrapText="1" readingOrder="1"/>
    </xf>
    <xf numFmtId="0" fontId="10" fillId="3" borderId="19" xfId="0" applyFont="1" applyFill="1" applyBorder="1" applyAlignment="1">
      <alignment horizontal="center" vertical="center" wrapText="1" readingOrder="1"/>
    </xf>
    <xf numFmtId="0" fontId="10" fillId="3" borderId="15" xfId="0" applyFont="1" applyFill="1" applyBorder="1" applyAlignment="1">
      <alignment horizontal="center" vertical="center" wrapText="1" readingOrder="1"/>
    </xf>
    <xf numFmtId="0" fontId="2" fillId="2" borderId="21" xfId="0" applyFont="1" applyFill="1" applyBorder="1" applyAlignment="1">
      <alignment horizontal="center" vertical="center" wrapText="1" readingOrder="1"/>
    </xf>
    <xf numFmtId="0" fontId="2" fillId="2" borderId="13" xfId="0" applyFont="1" applyFill="1" applyBorder="1" applyAlignment="1">
      <alignment horizontal="center" vertical="center" wrapText="1" readingOrder="1"/>
    </xf>
    <xf numFmtId="0" fontId="7" fillId="0" borderId="0" xfId="0" applyFont="1" applyAlignment="1">
      <alignment horizontal="left"/>
    </xf>
    <xf numFmtId="0" fontId="2" fillId="2" borderId="18" xfId="0" applyFont="1" applyFill="1" applyBorder="1" applyAlignment="1">
      <alignment horizontal="center" vertical="center" wrapText="1" readingOrder="1"/>
    </xf>
    <xf numFmtId="3" fontId="2" fillId="2" borderId="35" xfId="0" applyNumberFormat="1" applyFont="1" applyFill="1" applyBorder="1" applyAlignment="1">
      <alignment horizontal="center" vertical="center" wrapText="1"/>
    </xf>
    <xf numFmtId="3" fontId="2" fillId="2" borderId="36" xfId="0" applyNumberFormat="1" applyFont="1" applyFill="1" applyBorder="1" applyAlignment="1">
      <alignment horizontal="center" vertical="center" wrapText="1"/>
    </xf>
    <xf numFmtId="3" fontId="2" fillId="2" borderId="14" xfId="0" applyNumberFormat="1" applyFont="1" applyFill="1" applyBorder="1" applyAlignment="1">
      <alignment horizontal="center" vertical="center" wrapText="1"/>
    </xf>
    <xf numFmtId="3" fontId="2" fillId="2" borderId="15" xfId="0" applyNumberFormat="1" applyFont="1" applyFill="1" applyBorder="1" applyAlignment="1">
      <alignment horizontal="center" vertical="center" wrapText="1"/>
    </xf>
    <xf numFmtId="0" fontId="2" fillId="2" borderId="54" xfId="0" applyFont="1" applyFill="1" applyBorder="1" applyAlignment="1">
      <alignment horizontal="center" vertical="center" wrapText="1" readingOrder="1"/>
    </xf>
    <xf numFmtId="3" fontId="2" fillId="2" borderId="21" xfId="0" applyNumberFormat="1" applyFont="1" applyFill="1" applyBorder="1" applyAlignment="1">
      <alignment horizontal="center" vertical="center" wrapText="1"/>
    </xf>
    <xf numFmtId="3" fontId="2" fillId="2" borderId="13" xfId="0" applyNumberFormat="1" applyFont="1" applyFill="1" applyBorder="1" applyAlignment="1">
      <alignment horizontal="center" vertical="center" wrapText="1"/>
    </xf>
    <xf numFmtId="10" fontId="5" fillId="0" borderId="54" xfId="0" applyNumberFormat="1" applyFont="1" applyBorder="1" applyAlignment="1">
      <alignment horizontal="center" vertical="center" wrapText="1" readingOrder="1"/>
    </xf>
    <xf numFmtId="3" fontId="5" fillId="0" borderId="54" xfId="0" applyNumberFormat="1" applyFont="1" applyBorder="1" applyAlignment="1">
      <alignment horizontal="right" vertical="center" wrapText="1" readingOrder="1"/>
    </xf>
    <xf numFmtId="0" fontId="2" fillId="0" borderId="54" xfId="0" applyFont="1" applyBorder="1" applyAlignment="1">
      <alignment horizontal="right" vertical="center" wrapText="1" readingOrder="1"/>
    </xf>
    <xf numFmtId="0" fontId="35" fillId="0" borderId="0" xfId="0" applyFont="1" applyAlignment="1">
      <alignment horizontal="right" vertical="center" wrapText="1"/>
    </xf>
    <xf numFmtId="0" fontId="2" fillId="2" borderId="55" xfId="0" applyFont="1" applyFill="1" applyBorder="1" applyAlignment="1">
      <alignment horizontal="center" vertical="center" wrapText="1" readingOrder="1"/>
    </xf>
    <xf numFmtId="0" fontId="2" fillId="2" borderId="22" xfId="0" applyFont="1" applyFill="1" applyBorder="1" applyAlignment="1">
      <alignment horizontal="center" vertical="center" wrapText="1" readingOrder="1"/>
    </xf>
    <xf numFmtId="0" fontId="2" fillId="2" borderId="27" xfId="0" applyFont="1" applyFill="1" applyBorder="1" applyAlignment="1">
      <alignment horizontal="center" vertical="center" wrapText="1" readingOrder="1"/>
    </xf>
    <xf numFmtId="0" fontId="2" fillId="0" borderId="21" xfId="0" applyFont="1" applyBorder="1" applyAlignment="1">
      <alignment horizontal="center" vertical="center" wrapText="1" readingOrder="1"/>
    </xf>
    <xf numFmtId="0" fontId="2" fillId="0" borderId="18" xfId="0" applyFont="1" applyBorder="1" applyAlignment="1">
      <alignment horizontal="center" vertical="center" wrapText="1" readingOrder="1"/>
    </xf>
    <xf numFmtId="0" fontId="2" fillId="0" borderId="13" xfId="0" applyFont="1" applyBorder="1" applyAlignment="1">
      <alignment horizontal="center" vertical="center" wrapText="1" readingOrder="1"/>
    </xf>
    <xf numFmtId="3" fontId="5" fillId="0" borderId="21" xfId="0" applyNumberFormat="1" applyFont="1" applyBorder="1" applyAlignment="1">
      <alignment vertical="center" wrapText="1"/>
    </xf>
    <xf numFmtId="3" fontId="5" fillId="0" borderId="18" xfId="0" applyNumberFormat="1" applyFont="1" applyBorder="1" applyAlignment="1">
      <alignment vertical="center" wrapText="1"/>
    </xf>
    <xf numFmtId="3" fontId="5" fillId="0" borderId="13" xfId="0" applyNumberFormat="1" applyFont="1" applyBorder="1" applyAlignment="1">
      <alignment vertical="center" wrapText="1"/>
    </xf>
    <xf numFmtId="3" fontId="5" fillId="3" borderId="21" xfId="0" applyNumberFormat="1" applyFont="1" applyFill="1" applyBorder="1" applyAlignment="1">
      <alignment vertical="center" wrapText="1"/>
    </xf>
    <xf numFmtId="3" fontId="5" fillId="3" borderId="18" xfId="0" applyNumberFormat="1" applyFont="1" applyFill="1" applyBorder="1" applyAlignment="1">
      <alignment vertical="center" wrapText="1"/>
    </xf>
    <xf numFmtId="3" fontId="5" fillId="3" borderId="13" xfId="0" applyNumberFormat="1" applyFont="1" applyFill="1" applyBorder="1" applyAlignment="1">
      <alignment vertical="center" wrapText="1"/>
    </xf>
    <xf numFmtId="3" fontId="5" fillId="0" borderId="21" xfId="0" applyNumberFormat="1" applyFont="1" applyBorder="1" applyAlignment="1">
      <alignment horizontal="right" vertical="center" wrapText="1" readingOrder="1"/>
    </xf>
    <xf numFmtId="3" fontId="5" fillId="0" borderId="18" xfId="0" applyNumberFormat="1" applyFont="1" applyBorder="1" applyAlignment="1">
      <alignment horizontal="right" vertical="center" wrapText="1" readingOrder="1"/>
    </xf>
    <xf numFmtId="3" fontId="5" fillId="0" borderId="13" xfId="0" applyNumberFormat="1" applyFont="1" applyBorder="1" applyAlignment="1">
      <alignment horizontal="right" vertical="center" wrapText="1" readingOrder="1"/>
    </xf>
    <xf numFmtId="0" fontId="5" fillId="2" borderId="35" xfId="0" applyFont="1" applyFill="1" applyBorder="1" applyAlignment="1">
      <alignment horizontal="center" vertical="center" wrapText="1" readingOrder="1"/>
    </xf>
    <xf numFmtId="0" fontId="5" fillId="2" borderId="58" xfId="0" applyFont="1" applyFill="1" applyBorder="1" applyAlignment="1">
      <alignment horizontal="center" vertical="center" wrapText="1" readingOrder="1"/>
    </xf>
    <xf numFmtId="0" fontId="5" fillId="2" borderId="36" xfId="0" applyFont="1" applyFill="1" applyBorder="1" applyAlignment="1">
      <alignment horizontal="center" vertical="center" wrapText="1" readingOrder="1"/>
    </xf>
    <xf numFmtId="0" fontId="5" fillId="2" borderId="17" xfId="0" applyFont="1" applyFill="1" applyBorder="1" applyAlignment="1">
      <alignment horizontal="center" vertical="center" wrapText="1" readingOrder="1"/>
    </xf>
    <xf numFmtId="0" fontId="5" fillId="2" borderId="0" xfId="0" applyFont="1" applyFill="1" applyAlignment="1">
      <alignment horizontal="center" vertical="center" wrapText="1" readingOrder="1"/>
    </xf>
    <xf numFmtId="0" fontId="5" fillId="2" borderId="3" xfId="0" applyFont="1" applyFill="1" applyBorder="1" applyAlignment="1">
      <alignment horizontal="center" vertical="center" wrapText="1" readingOrder="1"/>
    </xf>
    <xf numFmtId="0" fontId="5" fillId="2" borderId="14" xfId="0" applyFont="1" applyFill="1" applyBorder="1" applyAlignment="1">
      <alignment horizontal="center" vertical="center" wrapText="1" readingOrder="1"/>
    </xf>
    <xf numFmtId="0" fontId="5" fillId="2" borderId="19" xfId="0" applyFont="1" applyFill="1" applyBorder="1" applyAlignment="1">
      <alignment horizontal="center" vertical="center" wrapText="1" readingOrder="1"/>
    </xf>
    <xf numFmtId="0" fontId="5" fillId="2" borderId="15" xfId="0" applyFont="1" applyFill="1" applyBorder="1" applyAlignment="1">
      <alignment horizontal="center" vertical="center" wrapText="1" readingOrder="1"/>
    </xf>
    <xf numFmtId="3" fontId="2" fillId="2" borderId="54" xfId="0" applyNumberFormat="1" applyFont="1" applyFill="1" applyBorder="1" applyAlignment="1">
      <alignment horizontal="center" vertical="center" wrapText="1"/>
    </xf>
    <xf numFmtId="0" fontId="2" fillId="2" borderId="58" xfId="0" applyFont="1" applyFill="1" applyBorder="1" applyAlignment="1">
      <alignment horizontal="center" vertical="center" wrapText="1" readingOrder="1"/>
    </xf>
    <xf numFmtId="0" fontId="2" fillId="2" borderId="36" xfId="0" applyFont="1" applyFill="1" applyBorder="1" applyAlignment="1">
      <alignment horizontal="center" vertical="center" wrapText="1" readingOrder="1"/>
    </xf>
    <xf numFmtId="0" fontId="2" fillId="2" borderId="19" xfId="0" applyFont="1" applyFill="1" applyBorder="1" applyAlignment="1">
      <alignment horizontal="center" vertical="center" wrapText="1" readingOrder="1"/>
    </xf>
    <xf numFmtId="0" fontId="2" fillId="2" borderId="15" xfId="0" applyFont="1" applyFill="1" applyBorder="1" applyAlignment="1">
      <alignment horizontal="center" vertical="center" wrapText="1" readingOrder="1"/>
    </xf>
    <xf numFmtId="0" fontId="2" fillId="2" borderId="35" xfId="0" applyFont="1" applyFill="1" applyBorder="1" applyAlignment="1">
      <alignment horizontal="center" vertical="center" wrapText="1" readingOrder="1"/>
    </xf>
    <xf numFmtId="0" fontId="2" fillId="2" borderId="14" xfId="0" applyFont="1" applyFill="1" applyBorder="1" applyAlignment="1">
      <alignment horizontal="center" vertical="center" wrapText="1" readingOrder="1"/>
    </xf>
    <xf numFmtId="0" fontId="11" fillId="3" borderId="58" xfId="0" quotePrefix="1" applyFont="1" applyFill="1" applyBorder="1" applyAlignment="1">
      <alignment horizontal="left" vertical="top" wrapText="1"/>
    </xf>
    <xf numFmtId="0" fontId="35" fillId="0" borderId="0" xfId="0" applyFont="1" applyAlignment="1">
      <alignment horizontal="right"/>
    </xf>
    <xf numFmtId="3" fontId="6" fillId="3" borderId="21" xfId="0" applyNumberFormat="1" applyFont="1" applyFill="1" applyBorder="1" applyAlignment="1">
      <alignment horizontal="right" vertical="center" wrapText="1" readingOrder="1"/>
    </xf>
    <xf numFmtId="3" fontId="6" fillId="3" borderId="18" xfId="0" applyNumberFormat="1" applyFont="1" applyFill="1" applyBorder="1" applyAlignment="1">
      <alignment horizontal="right" vertical="center" wrapText="1" readingOrder="1"/>
    </xf>
    <xf numFmtId="10" fontId="5" fillId="3" borderId="21" xfId="0" applyNumberFormat="1" applyFont="1" applyFill="1" applyBorder="1" applyAlignment="1">
      <alignment horizontal="center" vertical="center" wrapText="1" readingOrder="1"/>
    </xf>
    <xf numFmtId="10" fontId="5" fillId="3" borderId="18" xfId="0" applyNumberFormat="1" applyFont="1" applyFill="1" applyBorder="1" applyAlignment="1">
      <alignment horizontal="center" vertical="center" wrapText="1" readingOrder="1"/>
    </xf>
    <xf numFmtId="10" fontId="5" fillId="3" borderId="13" xfId="0" applyNumberFormat="1" applyFont="1" applyFill="1" applyBorder="1" applyAlignment="1">
      <alignment horizontal="center" vertical="center" wrapText="1" readingOrder="1"/>
    </xf>
    <xf numFmtId="3" fontId="6" fillId="3" borderId="54" xfId="0" applyNumberFormat="1" applyFont="1" applyFill="1" applyBorder="1" applyAlignment="1">
      <alignment horizontal="right" vertical="center" wrapText="1" readingOrder="1"/>
    </xf>
    <xf numFmtId="3" fontId="5" fillId="0" borderId="21" xfId="0" applyNumberFormat="1" applyFont="1" applyBorder="1" applyAlignment="1">
      <alignment horizontal="center" vertical="center" wrapText="1"/>
    </xf>
    <xf numFmtId="3" fontId="5" fillId="0" borderId="18" xfId="0" applyNumberFormat="1" applyFont="1" applyBorder="1" applyAlignment="1">
      <alignment horizontal="center" vertical="center" wrapText="1"/>
    </xf>
    <xf numFmtId="3" fontId="5" fillId="0" borderId="13" xfId="0" applyNumberFormat="1" applyFont="1" applyBorder="1" applyAlignment="1">
      <alignment horizontal="center" vertical="center" wrapText="1"/>
    </xf>
    <xf numFmtId="0" fontId="5" fillId="2" borderId="54" xfId="0" applyFont="1" applyFill="1" applyBorder="1" applyAlignment="1">
      <alignment horizontal="center" vertical="center" wrapText="1" readingOrder="1"/>
    </xf>
    <xf numFmtId="3" fontId="6" fillId="3" borderId="21" xfId="0" applyNumberFormat="1" applyFont="1" applyFill="1" applyBorder="1" applyAlignment="1">
      <alignment horizontal="right" vertical="center"/>
    </xf>
    <xf numFmtId="3" fontId="6" fillId="3" borderId="18" xfId="0" applyNumberFormat="1" applyFont="1" applyFill="1" applyBorder="1" applyAlignment="1">
      <alignment horizontal="right" vertical="center"/>
    </xf>
    <xf numFmtId="3" fontId="6" fillId="3" borderId="13" xfId="0" applyNumberFormat="1" applyFont="1" applyFill="1" applyBorder="1" applyAlignment="1">
      <alignment horizontal="right" vertical="center"/>
    </xf>
    <xf numFmtId="10" fontId="6" fillId="0" borderId="21" xfId="0" applyNumberFormat="1" applyFont="1" applyBorder="1" applyAlignment="1">
      <alignment horizontal="center" vertical="center"/>
    </xf>
    <xf numFmtId="10" fontId="6" fillId="0" borderId="18" xfId="0" applyNumberFormat="1" applyFont="1" applyBorder="1" applyAlignment="1">
      <alignment horizontal="center" vertical="center"/>
    </xf>
    <xf numFmtId="10" fontId="6" fillId="0" borderId="13" xfId="0" applyNumberFormat="1" applyFont="1" applyBorder="1" applyAlignment="1">
      <alignment horizontal="center" vertical="center"/>
    </xf>
    <xf numFmtId="3" fontId="6" fillId="3" borderId="18" xfId="0" applyNumberFormat="1" applyFont="1" applyFill="1" applyBorder="1" applyAlignment="1">
      <alignment horizontal="center" vertical="center"/>
    </xf>
    <xf numFmtId="0" fontId="6" fillId="0" borderId="21"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6" fillId="2" borderId="54" xfId="0" applyFont="1" applyFill="1" applyBorder="1" applyAlignment="1">
      <alignment horizontal="center" vertical="center" wrapText="1"/>
    </xf>
    <xf numFmtId="0" fontId="6" fillId="2" borderId="35" xfId="0" applyFont="1" applyFill="1" applyBorder="1" applyAlignment="1">
      <alignment horizontal="center"/>
    </xf>
    <xf numFmtId="0" fontId="6" fillId="2" borderId="58" xfId="0" applyFont="1" applyFill="1" applyBorder="1" applyAlignment="1">
      <alignment horizontal="center"/>
    </xf>
    <xf numFmtId="0" fontId="6" fillId="2" borderId="36" xfId="0" applyFont="1" applyFill="1" applyBorder="1" applyAlignment="1">
      <alignment horizontal="center"/>
    </xf>
    <xf numFmtId="0" fontId="6" fillId="2" borderId="14" xfId="0" applyFont="1" applyFill="1" applyBorder="1" applyAlignment="1">
      <alignment horizontal="center"/>
    </xf>
    <xf numFmtId="0" fontId="6" fillId="2" borderId="19" xfId="0" applyFont="1" applyFill="1" applyBorder="1" applyAlignment="1">
      <alignment horizontal="center"/>
    </xf>
    <xf numFmtId="0" fontId="6" fillId="2" borderId="15" xfId="0" applyFont="1" applyFill="1" applyBorder="1" applyAlignment="1">
      <alignment horizontal="center"/>
    </xf>
    <xf numFmtId="0" fontId="12" fillId="0" borderId="55" xfId="0" applyFont="1" applyBorder="1" applyAlignment="1">
      <alignment horizontal="right" vertical="center" wrapText="1"/>
    </xf>
    <xf numFmtId="0" fontId="12" fillId="0" borderId="27" xfId="0" applyFont="1" applyBorder="1" applyAlignment="1">
      <alignment horizontal="right" vertical="center" wrapText="1"/>
    </xf>
    <xf numFmtId="0" fontId="15" fillId="0" borderId="55" xfId="0" applyFont="1" applyBorder="1" applyAlignment="1">
      <alignment horizontal="right" vertical="center" wrapText="1"/>
    </xf>
    <xf numFmtId="0" fontId="15" fillId="0" borderId="27" xfId="0" applyFont="1" applyBorder="1" applyAlignment="1">
      <alignment horizontal="right" vertical="center" wrapText="1"/>
    </xf>
    <xf numFmtId="3" fontId="15" fillId="0" borderId="35" xfId="0" applyNumberFormat="1" applyFont="1" applyBorder="1" applyAlignment="1">
      <alignment horizontal="center"/>
    </xf>
    <xf numFmtId="3" fontId="15" fillId="0" borderId="58" xfId="0" applyNumberFormat="1" applyFont="1" applyBorder="1" applyAlignment="1">
      <alignment horizontal="center"/>
    </xf>
    <xf numFmtId="3" fontId="15" fillId="0" borderId="22" xfId="0" applyNumberFormat="1" applyFont="1" applyBorder="1" applyAlignment="1">
      <alignment horizontal="center"/>
    </xf>
    <xf numFmtId="3" fontId="15" fillId="0" borderId="27" xfId="0" applyNumberFormat="1" applyFont="1" applyBorder="1" applyAlignment="1">
      <alignment horizontal="center"/>
    </xf>
    <xf numFmtId="0" fontId="6" fillId="0" borderId="35" xfId="0" applyFont="1" applyBorder="1" applyAlignment="1">
      <alignment horizontal="left" vertical="center" wrapText="1"/>
    </xf>
    <xf numFmtId="0" fontId="6" fillId="0" borderId="17" xfId="0" applyFont="1" applyBorder="1" applyAlignment="1">
      <alignment horizontal="left" vertical="center" wrapText="1"/>
    </xf>
    <xf numFmtId="0" fontId="6" fillId="0" borderId="14" xfId="0" applyFont="1" applyBorder="1" applyAlignment="1">
      <alignment horizontal="left"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7" xfId="0" applyFont="1" applyFill="1" applyBorder="1" applyAlignment="1">
      <alignment horizontal="center"/>
    </xf>
    <xf numFmtId="0" fontId="6" fillId="2" borderId="0" xfId="0" applyFont="1" applyFill="1" applyAlignment="1">
      <alignment horizontal="center"/>
    </xf>
    <xf numFmtId="0" fontId="6" fillId="2" borderId="3" xfId="0" applyFont="1" applyFill="1" applyBorder="1" applyAlignment="1">
      <alignment horizontal="center"/>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6" fillId="0" borderId="13" xfId="0" applyFont="1" applyBorder="1" applyAlignment="1">
      <alignment horizontal="left" vertical="center" wrapText="1"/>
    </xf>
    <xf numFmtId="3" fontId="5" fillId="3" borderId="21" xfId="0" applyNumberFormat="1" applyFont="1" applyFill="1" applyBorder="1" applyAlignment="1">
      <alignment horizontal="right" vertical="center" wrapText="1"/>
    </xf>
    <xf numFmtId="3" fontId="5" fillId="3" borderId="18" xfId="0" applyNumberFormat="1" applyFont="1" applyFill="1" applyBorder="1" applyAlignment="1">
      <alignment horizontal="right" vertical="center" wrapText="1"/>
    </xf>
    <xf numFmtId="3" fontId="5" fillId="3" borderId="13" xfId="0" applyNumberFormat="1" applyFont="1" applyFill="1" applyBorder="1" applyAlignment="1">
      <alignment horizontal="right" vertical="center" wrapText="1"/>
    </xf>
    <xf numFmtId="0" fontId="2" fillId="44" borderId="55" xfId="0" applyFont="1" applyFill="1" applyBorder="1" applyAlignment="1">
      <alignment horizontal="right" vertical="center" wrapText="1" readingOrder="1"/>
    </xf>
    <xf numFmtId="0" fontId="2" fillId="44" borderId="22" xfId="0" applyFont="1" applyFill="1" applyBorder="1" applyAlignment="1">
      <alignment horizontal="right" vertical="center" wrapText="1" readingOrder="1"/>
    </xf>
    <xf numFmtId="0" fontId="2" fillId="44" borderId="27" xfId="0" applyFont="1" applyFill="1" applyBorder="1" applyAlignment="1">
      <alignment horizontal="right" vertical="center" wrapText="1" readingOrder="1"/>
    </xf>
    <xf numFmtId="0" fontId="11" fillId="3" borderId="0" xfId="0" quotePrefix="1" applyFont="1" applyFill="1" applyAlignment="1">
      <alignment horizontal="left" vertical="top" wrapText="1"/>
    </xf>
    <xf numFmtId="3" fontId="2" fillId="2" borderId="17"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xf numFmtId="3" fontId="5" fillId="0" borderId="21"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3" fontId="5" fillId="0" borderId="21" xfId="0" applyNumberFormat="1" applyFont="1" applyBorder="1" applyAlignment="1">
      <alignment vertical="center" wrapText="1" readingOrder="1"/>
    </xf>
    <xf numFmtId="3" fontId="5" fillId="0" borderId="18" xfId="0" applyNumberFormat="1" applyFont="1" applyBorder="1" applyAlignment="1">
      <alignment vertical="center" wrapText="1" readingOrder="1"/>
    </xf>
    <xf numFmtId="10" fontId="5" fillId="0" borderId="21" xfId="0" applyNumberFormat="1" applyFont="1" applyBorder="1" applyAlignment="1">
      <alignment vertical="center" wrapText="1" readingOrder="1"/>
    </xf>
    <xf numFmtId="10" fontId="5" fillId="0" borderId="18" xfId="0" applyNumberFormat="1" applyFont="1" applyBorder="1" applyAlignment="1">
      <alignment vertical="center" wrapText="1" readingOrder="1"/>
    </xf>
    <xf numFmtId="3" fontId="5" fillId="2" borderId="35" xfId="0" applyNumberFormat="1" applyFont="1" applyFill="1" applyBorder="1" applyAlignment="1">
      <alignment horizontal="center" vertical="center" wrapText="1" readingOrder="1"/>
    </xf>
    <xf numFmtId="3" fontId="5" fillId="2" borderId="36" xfId="0" applyNumberFormat="1" applyFont="1" applyFill="1" applyBorder="1" applyAlignment="1">
      <alignment horizontal="center" vertical="center" wrapText="1" readingOrder="1"/>
    </xf>
    <xf numFmtId="3" fontId="5" fillId="2" borderId="17" xfId="0" applyNumberFormat="1" applyFont="1" applyFill="1" applyBorder="1" applyAlignment="1">
      <alignment horizontal="center" vertical="center" wrapText="1" readingOrder="1"/>
    </xf>
    <xf numFmtId="3" fontId="5" fillId="2" borderId="3" xfId="0" applyNumberFormat="1" applyFont="1" applyFill="1" applyBorder="1" applyAlignment="1">
      <alignment horizontal="center" vertical="center" wrapText="1" readingOrder="1"/>
    </xf>
    <xf numFmtId="0" fontId="2" fillId="42" borderId="55" xfId="0" applyFont="1" applyFill="1" applyBorder="1" applyAlignment="1">
      <alignment horizontal="right" vertical="center" wrapText="1" readingOrder="1"/>
    </xf>
    <xf numFmtId="0" fontId="2" fillId="42" borderId="27" xfId="0" applyFont="1" applyFill="1" applyBorder="1" applyAlignment="1">
      <alignment horizontal="right" vertical="center" wrapText="1" readingOrder="1"/>
    </xf>
    <xf numFmtId="3" fontId="5" fillId="3" borderId="54" xfId="0" applyNumberFormat="1" applyFont="1" applyFill="1" applyBorder="1" applyAlignment="1">
      <alignment horizontal="center" vertical="center" wrapText="1"/>
    </xf>
    <xf numFmtId="3" fontId="5" fillId="0" borderId="54" xfId="0" applyNumberFormat="1" applyFont="1" applyBorder="1" applyAlignment="1">
      <alignment horizontal="center" vertical="center" wrapText="1"/>
    </xf>
    <xf numFmtId="3" fontId="5" fillId="40" borderId="21" xfId="0" applyNumberFormat="1" applyFont="1" applyFill="1" applyBorder="1" applyAlignment="1">
      <alignment horizontal="center" vertical="center" wrapText="1"/>
    </xf>
    <xf numFmtId="3" fontId="5" fillId="40" borderId="13" xfId="0" applyNumberFormat="1" applyFont="1" applyFill="1" applyBorder="1" applyAlignment="1">
      <alignment horizontal="center" vertical="center" wrapText="1"/>
    </xf>
    <xf numFmtId="10" fontId="5" fillId="0" borderId="21" xfId="0" applyNumberFormat="1" applyFont="1" applyBorder="1" applyAlignment="1">
      <alignment horizontal="center" vertical="center" wrapText="1" readingOrder="1"/>
    </xf>
    <xf numFmtId="10" fontId="5" fillId="0" borderId="18" xfId="0" applyNumberFormat="1" applyFont="1" applyBorder="1" applyAlignment="1">
      <alignment horizontal="center" vertical="center" wrapText="1" readingOrder="1"/>
    </xf>
    <xf numFmtId="10" fontId="5" fillId="0" borderId="13" xfId="0" applyNumberFormat="1" applyFont="1" applyBorder="1" applyAlignment="1">
      <alignment horizontal="center" vertical="center" wrapText="1" readingOrder="1"/>
    </xf>
    <xf numFmtId="10" fontId="5" fillId="0" borderId="21" xfId="0" applyNumberFormat="1" applyFont="1" applyBorder="1" applyAlignment="1">
      <alignment horizontal="right" vertical="center" wrapText="1" readingOrder="1"/>
    </xf>
    <xf numFmtId="10" fontId="5" fillId="0" borderId="18" xfId="0" applyNumberFormat="1" applyFont="1" applyBorder="1" applyAlignment="1">
      <alignment horizontal="right" vertical="center" wrapText="1" readingOrder="1"/>
    </xf>
    <xf numFmtId="10" fontId="5" fillId="0" borderId="13" xfId="0" applyNumberFormat="1" applyFont="1" applyBorder="1" applyAlignment="1">
      <alignment horizontal="right" vertical="center" wrapText="1" readingOrder="1"/>
    </xf>
    <xf numFmtId="3" fontId="5" fillId="0" borderId="13" xfId="0" applyNumberFormat="1" applyFont="1" applyBorder="1" applyAlignment="1">
      <alignment horizontal="right" vertical="center" wrapText="1"/>
    </xf>
    <xf numFmtId="0" fontId="19" fillId="0" borderId="19" xfId="0" applyFont="1" applyBorder="1" applyAlignment="1">
      <alignment horizontal="left" wrapText="1"/>
    </xf>
    <xf numFmtId="0" fontId="10" fillId="0" borderId="23" xfId="0" applyFont="1" applyBorder="1" applyAlignment="1">
      <alignment horizontal="left" vertical="center" wrapText="1" readingOrder="1"/>
    </xf>
    <xf numFmtId="0" fontId="23" fillId="0" borderId="19" xfId="0" applyFont="1" applyBorder="1" applyAlignment="1">
      <alignment horizontal="left"/>
    </xf>
    <xf numFmtId="167" fontId="14" fillId="2" borderId="28" xfId="0" applyNumberFormat="1" applyFont="1" applyFill="1" applyBorder="1" applyAlignment="1">
      <alignment horizontal="center" vertical="center" wrapText="1"/>
    </xf>
    <xf numFmtId="0" fontId="16" fillId="2" borderId="55" xfId="0" applyFont="1" applyFill="1" applyBorder="1" applyAlignment="1">
      <alignment horizontal="center" vertical="center" wrapText="1" readingOrder="1"/>
    </xf>
    <xf numFmtId="0" fontId="19" fillId="0" borderId="19" xfId="0" applyFont="1" applyBorder="1" applyAlignment="1">
      <alignment horizontal="center"/>
    </xf>
    <xf numFmtId="3" fontId="4" fillId="3" borderId="20" xfId="2" applyNumberFormat="1" applyFont="1" applyFill="1" applyBorder="1" applyAlignment="1">
      <alignment horizontal="center" vertical="center" wrapText="1"/>
    </xf>
    <xf numFmtId="0" fontId="19" fillId="0" borderId="0" xfId="0" applyFont="1" applyAlignment="1">
      <alignment horizontal="left"/>
    </xf>
    <xf numFmtId="0" fontId="19" fillId="0" borderId="0" xfId="0" applyFont="1" applyAlignment="1">
      <alignment horizontal="center"/>
    </xf>
    <xf numFmtId="0" fontId="35" fillId="3" borderId="0" xfId="0" applyFont="1" applyFill="1" applyAlignment="1">
      <alignment horizontal="left" wrapText="1"/>
    </xf>
    <xf numFmtId="0" fontId="15" fillId="0" borderId="12" xfId="0" applyFont="1" applyBorder="1" applyAlignment="1">
      <alignment horizontal="center"/>
    </xf>
    <xf numFmtId="0" fontId="15" fillId="0" borderId="19" xfId="0" applyFont="1" applyBorder="1" applyAlignment="1">
      <alignment horizontal="center"/>
    </xf>
    <xf numFmtId="3" fontId="10" fillId="0" borderId="55" xfId="0" applyNumberFormat="1" applyFont="1" applyBorder="1" applyAlignment="1">
      <alignment horizontal="center" vertical="center" wrapText="1" readingOrder="1"/>
    </xf>
    <xf numFmtId="3" fontId="10" fillId="0" borderId="22" xfId="0" applyNumberFormat="1" applyFont="1" applyBorder="1" applyAlignment="1">
      <alignment horizontal="center" vertical="center" wrapText="1" readingOrder="1"/>
    </xf>
    <xf numFmtId="3" fontId="10" fillId="0" borderId="27" xfId="0" applyNumberFormat="1" applyFont="1" applyBorder="1" applyAlignment="1">
      <alignment horizontal="center" vertical="center" wrapText="1" readingOrder="1"/>
    </xf>
    <xf numFmtId="0" fontId="10" fillId="0" borderId="0" xfId="0" applyFont="1" applyAlignment="1">
      <alignment horizontal="left" vertical="center" readingOrder="1"/>
    </xf>
  </cellXfs>
  <cellStyles count="161">
    <cellStyle name="20% - Colore 1" xfId="31" builtinId="30" customBuiltin="1"/>
    <cellStyle name="20% - Colore 2" xfId="34" builtinId="34" customBuiltin="1"/>
    <cellStyle name="20% - Colore 3" xfId="37" builtinId="38" customBuiltin="1"/>
    <cellStyle name="20% - Colore 4" xfId="40" builtinId="42" customBuiltin="1"/>
    <cellStyle name="20% - Colore 5" xfId="43" builtinId="46" customBuiltin="1"/>
    <cellStyle name="20% - Colore 6" xfId="46" builtinId="50" customBuiltin="1"/>
    <cellStyle name="40% - Colore 1" xfId="32" builtinId="31" customBuiltin="1"/>
    <cellStyle name="40% - Colore 2" xfId="35" builtinId="35" customBuiltin="1"/>
    <cellStyle name="40% - Colore 3" xfId="38" builtinId="39" customBuiltin="1"/>
    <cellStyle name="40% - Colore 4" xfId="41" builtinId="43" customBuiltin="1"/>
    <cellStyle name="40% - Colore 5" xfId="44" builtinId="47" customBuiltin="1"/>
    <cellStyle name="40% - Colore 6" xfId="47" builtinId="51" customBuiltin="1"/>
    <cellStyle name="60% - Colore 1 2" xfId="50" xr:uid="{00000000-0005-0000-0000-00000C000000}"/>
    <cellStyle name="60% - Colore 2 2" xfId="51" xr:uid="{00000000-0005-0000-0000-00000D000000}"/>
    <cellStyle name="60% - Colore 3 2" xfId="52" xr:uid="{00000000-0005-0000-0000-00000E000000}"/>
    <cellStyle name="60% - Colore 4 2" xfId="53" xr:uid="{00000000-0005-0000-0000-00000F000000}"/>
    <cellStyle name="60% - Colore 5 2" xfId="54" xr:uid="{00000000-0005-0000-0000-000010000000}"/>
    <cellStyle name="60% - Colore 6 2" xfId="55" xr:uid="{00000000-0005-0000-0000-000011000000}"/>
    <cellStyle name="Calcolo" xfId="23" builtinId="22" customBuiltin="1"/>
    <cellStyle name="Cella collegata" xfId="24" builtinId="24" customBuiltin="1"/>
    <cellStyle name="Cella da controllare" xfId="25" builtinId="23" customBuiltin="1"/>
    <cellStyle name="Colore 1" xfId="30" builtinId="29" customBuiltin="1"/>
    <cellStyle name="Colore 2" xfId="33" builtinId="33" customBuiltin="1"/>
    <cellStyle name="Colore 3" xfId="36" builtinId="37" customBuiltin="1"/>
    <cellStyle name="Colore 4" xfId="39" builtinId="41" customBuiltin="1"/>
    <cellStyle name="Colore 5" xfId="42" builtinId="45" customBuiltin="1"/>
    <cellStyle name="Colore 6" xfId="45" builtinId="49" customBuiltin="1"/>
    <cellStyle name="Input" xfId="21" builtinId="20" customBuiltin="1"/>
    <cellStyle name="Migliaia" xfId="1" builtinId="3"/>
    <cellStyle name="Migliaia 10" xfId="69" xr:uid="{3FB55423-2F32-47CA-9A2B-4A6FBA72C392}"/>
    <cellStyle name="Migliaia 10 2" xfId="109" xr:uid="{A7D6E47F-A132-4C50-A7D8-D6A7327D38E0}"/>
    <cellStyle name="Migliaia 10 3" xfId="147" xr:uid="{62DD20E3-5A72-4861-97CF-B7B7E2D1AC0E}"/>
    <cellStyle name="Migliaia 2" xfId="4" xr:uid="{00000000-0005-0000-0000-00001D000000}"/>
    <cellStyle name="Migliaia 2 2" xfId="67" xr:uid="{00000000-0005-0000-0000-00001E000000}"/>
    <cellStyle name="Migliaia 2 3" xfId="66" xr:uid="{00000000-0005-0000-0000-00001F000000}"/>
    <cellStyle name="Migliaia 2 3 2" xfId="83" xr:uid="{88B04553-6049-42B0-8832-0853C51C6392}"/>
    <cellStyle name="Migliaia 2 3 2 2" xfId="122" xr:uid="{0534EBB5-3624-4341-9C3C-6F55DDC897C1}"/>
    <cellStyle name="Migliaia 2 3 2 3" xfId="160" xr:uid="{034F6F2D-A5F7-40A5-83F8-433DCE83D238}"/>
    <cellStyle name="Migliaia 2 3 3" xfId="107" xr:uid="{91339815-9C40-4CAE-9CE0-D959F9520552}"/>
    <cellStyle name="Migliaia 2 3 4" xfId="146" xr:uid="{0BB088EC-EA63-4014-9968-9E24EDF4EE4B}"/>
    <cellStyle name="Migliaia 3" xfId="2" xr:uid="{00000000-0005-0000-0000-000020000000}"/>
    <cellStyle name="Migliaia 3 2" xfId="7" xr:uid="{00000000-0005-0000-0000-000021000000}"/>
    <cellStyle name="Migliaia 3 2 2" xfId="59" xr:uid="{00000000-0005-0000-0000-000022000000}"/>
    <cellStyle name="Migliaia 3 2 2 2" xfId="76" xr:uid="{9EFEC395-B291-4898-BEAC-0A5548867E2F}"/>
    <cellStyle name="Migliaia 3 2 2 2 2" xfId="116" xr:uid="{E4799EB0-379A-4C6F-ACC6-889B2A03EC88}"/>
    <cellStyle name="Migliaia 3 2 2 2 3" xfId="154" xr:uid="{D40A82E5-9621-4D79-9C9A-DEEF18CF340D}"/>
    <cellStyle name="Migliaia 3 2 2 3" xfId="90" xr:uid="{E5099173-1D22-4CCB-92B6-5D4D34772D73}"/>
    <cellStyle name="Migliaia 3 2 2 3 2" xfId="129" xr:uid="{CEC21D38-7CAC-4D37-BC70-50C301F922AA}"/>
    <cellStyle name="Migliaia 3 2 2 4" xfId="101" xr:uid="{AD643B9B-75C0-4AA4-AEAD-33C8ED55C63F}"/>
    <cellStyle name="Migliaia 3 2 2 5" xfId="140" xr:uid="{7B38BD28-7BE9-4064-B58A-10707E640B8B}"/>
    <cellStyle name="Migliaia 3 3" xfId="14" xr:uid="{00000000-0005-0000-0000-000023000000}"/>
    <cellStyle name="Migliaia 4" xfId="6" xr:uid="{00000000-0005-0000-0000-000024000000}"/>
    <cellStyle name="Migliaia 4 2" xfId="58" xr:uid="{00000000-0005-0000-0000-000025000000}"/>
    <cellStyle name="Migliaia 4 2 2" xfId="75" xr:uid="{C5D0B1EC-3A19-4B65-87E2-FAC9675BCCEA}"/>
    <cellStyle name="Migliaia 4 2 2 2" xfId="115" xr:uid="{F64CEAB4-BF4E-442B-B7CF-AF4123356269}"/>
    <cellStyle name="Migliaia 4 2 2 3" xfId="153" xr:uid="{F0F8E60F-16DA-4BDB-BB74-BA34A450514A}"/>
    <cellStyle name="Migliaia 4 2 3" xfId="89" xr:uid="{B1263C67-54AC-4990-A02F-79CAB1AFA981}"/>
    <cellStyle name="Migliaia 4 2 3 2" xfId="128" xr:uid="{C7EFD2AF-2F5F-40B5-A933-1412371ED1F8}"/>
    <cellStyle name="Migliaia 4 2 4" xfId="100" xr:uid="{2F8161BB-9505-46FF-B59F-FD28223B0F31}"/>
    <cellStyle name="Migliaia 4 2 5" xfId="139" xr:uid="{E30CFDBF-4340-4AD9-9135-604CA8C12A9E}"/>
    <cellStyle name="Migliaia 4 3" xfId="70" xr:uid="{4F1B9166-9418-4A02-89D8-E252307C710F}"/>
    <cellStyle name="Migliaia 4 3 2" xfId="110" xr:uid="{314B815B-AE34-4B47-A83D-1AC9BD740240}"/>
    <cellStyle name="Migliaia 4 3 3" xfId="148" xr:uid="{36EA5CED-EDEC-41ED-A46C-370A6B73D55E}"/>
    <cellStyle name="Migliaia 4 4" xfId="84" xr:uid="{2C300E9E-63E0-40C4-911F-7747B50E8F15}"/>
    <cellStyle name="Migliaia 4 4 2" xfId="123" xr:uid="{4B025493-802D-4511-9A5D-EBE07F083AF1}"/>
    <cellStyle name="Migliaia 4 5" xfId="95" xr:uid="{30C2E402-DD5D-47E8-9ADF-734CF5DFDDD9}"/>
    <cellStyle name="Migliaia 4 6" xfId="134" xr:uid="{671A6B64-F247-48E5-8733-F7C5B98EE4EB}"/>
    <cellStyle name="Migliaia 5" xfId="8" xr:uid="{00000000-0005-0000-0000-000026000000}"/>
    <cellStyle name="Migliaia 5 2" xfId="60" xr:uid="{00000000-0005-0000-0000-000027000000}"/>
    <cellStyle name="Migliaia 5 2 2" xfId="77" xr:uid="{8E773AAA-CF02-46D8-9A01-B0EDBC7BEC69}"/>
    <cellStyle name="Migliaia 5 2 2 2" xfId="117" xr:uid="{AEB87772-BB41-43F1-B56F-FEECB626A632}"/>
    <cellStyle name="Migliaia 5 2 2 3" xfId="155" xr:uid="{8283F246-8940-483D-8808-702B61B7A4B5}"/>
    <cellStyle name="Migliaia 5 2 3" xfId="91" xr:uid="{68B23619-1611-4EEE-9073-01E834DFE0B7}"/>
    <cellStyle name="Migliaia 5 2 3 2" xfId="130" xr:uid="{F44DF3A6-B054-4A6A-973C-829933BC2773}"/>
    <cellStyle name="Migliaia 5 2 4" xfId="102" xr:uid="{209336F2-B87D-4DD5-A6AD-348829B19A96}"/>
    <cellStyle name="Migliaia 5 2 5" xfId="141" xr:uid="{3DF6AFD8-45BC-439D-B3DF-FD3F2B48ED30}"/>
    <cellStyle name="Migliaia 5 3" xfId="71" xr:uid="{B10F56BD-5D43-49E9-80B3-55BD434FC01E}"/>
    <cellStyle name="Migliaia 5 3 2" xfId="111" xr:uid="{A4024819-17ED-409F-8F6E-3B9BA692A8E3}"/>
    <cellStyle name="Migliaia 5 3 3" xfId="149" xr:uid="{94167CAA-C8E3-44DC-BC2B-B63DA28ED11A}"/>
    <cellStyle name="Migliaia 5 4" xfId="85" xr:uid="{B709B021-1625-440C-A62F-65BC2D6A95A8}"/>
    <cellStyle name="Migliaia 5 4 2" xfId="124" xr:uid="{0801C758-B052-4AF4-8AD3-61FCC6738913}"/>
    <cellStyle name="Migliaia 5 5" xfId="96" xr:uid="{61AA9223-5C96-4B1E-8447-B2B3EA291D7E}"/>
    <cellStyle name="Migliaia 5 6" xfId="135" xr:uid="{808419F8-E4BE-4D79-9930-08124888706E}"/>
    <cellStyle name="Migliaia 6" xfId="10" xr:uid="{00000000-0005-0000-0000-000028000000}"/>
    <cellStyle name="Migliaia 6 2" xfId="61" xr:uid="{00000000-0005-0000-0000-000029000000}"/>
    <cellStyle name="Migliaia 6 2 2" xfId="78" xr:uid="{51F3BFDC-1642-47F2-9535-928127C6BA2B}"/>
    <cellStyle name="Migliaia 6 2 2 2" xfId="118" xr:uid="{CF645578-580A-4E99-B819-1B1035508469}"/>
    <cellStyle name="Migliaia 6 2 2 3" xfId="156" xr:uid="{5A0E1229-BB75-4285-8264-EC18552511E9}"/>
    <cellStyle name="Migliaia 6 2 3" xfId="92" xr:uid="{606C12D1-4394-4B0D-9166-1FB3F03AAFF4}"/>
    <cellStyle name="Migliaia 6 2 3 2" xfId="131" xr:uid="{F9ADD056-017F-474F-B147-C69D888D6023}"/>
    <cellStyle name="Migliaia 6 2 4" xfId="103" xr:uid="{1150087E-DD09-4927-9ADD-282EC1EB2422}"/>
    <cellStyle name="Migliaia 6 2 5" xfId="142" xr:uid="{DCC9289A-5D58-49A0-A44B-224AC308842A}"/>
    <cellStyle name="Migliaia 6 3" xfId="72" xr:uid="{FF036225-16FE-4FE9-BEB5-69DE915D6636}"/>
    <cellStyle name="Migliaia 6 3 2" xfId="112" xr:uid="{1D075C53-246B-4183-84DE-54A79C16C9A9}"/>
    <cellStyle name="Migliaia 6 3 3" xfId="150" xr:uid="{5EC6629D-FEB5-4130-9C66-F7291838B19D}"/>
    <cellStyle name="Migliaia 6 4" xfId="86" xr:uid="{8A276C4E-5180-4C53-A5C8-120992662757}"/>
    <cellStyle name="Migliaia 6 4 2" xfId="125" xr:uid="{898850FF-64F0-4EAC-8996-04A6308A3854}"/>
    <cellStyle name="Migliaia 6 5" xfId="97" xr:uid="{CA6925BF-104A-480F-A9DE-AC380FEE47B8}"/>
    <cellStyle name="Migliaia 6 6" xfId="136" xr:uid="{E3BFBCDC-854E-45E2-8C81-346A6C434840}"/>
    <cellStyle name="Migliaia 7" xfId="11" xr:uid="{00000000-0005-0000-0000-00002A000000}"/>
    <cellStyle name="Migliaia 7 2" xfId="62" xr:uid="{00000000-0005-0000-0000-00002B000000}"/>
    <cellStyle name="Migliaia 7 2 2" xfId="79" xr:uid="{0119F696-B115-4903-9326-96FB7BE90802}"/>
    <cellStyle name="Migliaia 7 2 2 2" xfId="119" xr:uid="{7BF3E478-5E3A-4FB3-9E02-F5458F21CD3B}"/>
    <cellStyle name="Migliaia 7 2 2 3" xfId="157" xr:uid="{75BE6851-AED2-4A8F-BA09-C7B3E48473C3}"/>
    <cellStyle name="Migliaia 7 2 3" xfId="93" xr:uid="{F24B42D2-0F42-436D-983D-BFB1012A265C}"/>
    <cellStyle name="Migliaia 7 2 3 2" xfId="132" xr:uid="{192D34FE-3B25-412C-97D8-C949E07627B1}"/>
    <cellStyle name="Migliaia 7 2 4" xfId="104" xr:uid="{656B9D5B-AC79-460D-86A2-E38E15730922}"/>
    <cellStyle name="Migliaia 7 2 5" xfId="143" xr:uid="{CBFDE378-AD13-4C8A-8E80-1B3D97DE86DE}"/>
    <cellStyle name="Migliaia 7 3" xfId="73" xr:uid="{DE23AF38-5B64-4D28-8207-A17912DF7F56}"/>
    <cellStyle name="Migliaia 7 3 2" xfId="113" xr:uid="{46AE36D8-5B99-4EB2-8EDD-4DE98B58DFC9}"/>
    <cellStyle name="Migliaia 7 3 3" xfId="151" xr:uid="{C701FC23-35E7-4CBC-A602-92761D5EF098}"/>
    <cellStyle name="Migliaia 7 4" xfId="87" xr:uid="{0F67DDF5-27B7-492A-BAE7-DAF4873DB474}"/>
    <cellStyle name="Migliaia 7 4 2" xfId="126" xr:uid="{430674AA-10C6-4207-8E3D-9CFEC6E0C02D}"/>
    <cellStyle name="Migliaia 7 5" xfId="98" xr:uid="{830ABBBF-5F32-4E18-B786-EFEB9C00683D}"/>
    <cellStyle name="Migliaia 7 6" xfId="137" xr:uid="{9798B107-378F-4DBE-A734-D75F6A67E128}"/>
    <cellStyle name="Migliaia 8" xfId="57" xr:uid="{00000000-0005-0000-0000-00002C000000}"/>
    <cellStyle name="Migliaia 8 2" xfId="63" xr:uid="{00000000-0005-0000-0000-00002D000000}"/>
    <cellStyle name="Migliaia 8 2 2" xfId="80" xr:uid="{FF0DC4CE-B7E3-4EEC-A24D-F0177BEBB432}"/>
    <cellStyle name="Migliaia 8 2 2 2" xfId="120" xr:uid="{766A6384-3DA0-4A59-B446-7D70C96BCC83}"/>
    <cellStyle name="Migliaia 8 2 2 3" xfId="158" xr:uid="{020E0476-71C5-460C-98FA-FF62D2BC58A2}"/>
    <cellStyle name="Migliaia 8 2 3" xfId="94" xr:uid="{2C25A838-0DB1-4ADB-85BB-EAD20B4D39CA}"/>
    <cellStyle name="Migliaia 8 2 3 2" xfId="133" xr:uid="{1FB1053C-C857-4DA5-AD86-E51EFEF7A5CB}"/>
    <cellStyle name="Migliaia 8 2 4" xfId="105" xr:uid="{FA35349A-D794-482A-B273-C6EDEE743658}"/>
    <cellStyle name="Migliaia 8 2 5" xfId="144" xr:uid="{6B287886-A650-4ACC-8DDC-315893F112CC}"/>
    <cellStyle name="Migliaia 8 3" xfId="74" xr:uid="{11DD73CF-E3DB-472D-A29C-40BA0467827E}"/>
    <cellStyle name="Migliaia 8 3 2" xfId="114" xr:uid="{ADA83A57-3052-491C-B726-DAC2C1E96258}"/>
    <cellStyle name="Migliaia 8 3 3" xfId="152" xr:uid="{777DD60F-34CD-43E1-B156-4D7B2F925576}"/>
    <cellStyle name="Migliaia 8 4" xfId="88" xr:uid="{5D095495-500D-402B-9F6F-A397E5699A43}"/>
    <cellStyle name="Migliaia 8 4 2" xfId="127" xr:uid="{E87901EA-8BAD-45CE-9A3E-EB57E1EAA7EE}"/>
    <cellStyle name="Migliaia 8 5" xfId="99" xr:uid="{087575ED-8204-4020-ACC6-4919A7B25105}"/>
    <cellStyle name="Migliaia 8 6" xfId="138" xr:uid="{E35D8ADF-0112-4A46-BE87-630247679D0F}"/>
    <cellStyle name="Migliaia 9" xfId="65" xr:uid="{00000000-0005-0000-0000-00002E000000}"/>
    <cellStyle name="Migliaia 9 2" xfId="82" xr:uid="{7E56833C-D27A-4C78-9BBE-A784EBF3829D}"/>
    <cellStyle name="Migliaia 9 2 2" xfId="121" xr:uid="{14C3D034-E0C6-40BC-B8C2-94798582F3B6}"/>
    <cellStyle name="Migliaia 9 2 3" xfId="159" xr:uid="{5D299628-ADF4-4598-BE94-3CF751CA2006}"/>
    <cellStyle name="Migliaia 9 3" xfId="106" xr:uid="{486460EF-1545-4078-96CD-8308AA950D8E}"/>
    <cellStyle name="Migliaia 9 4" xfId="145" xr:uid="{5C736F03-FAB0-4F80-9EAA-956DF4E43AFC}"/>
    <cellStyle name="Neutrale 2" xfId="49" xr:uid="{00000000-0005-0000-0000-00002F000000}"/>
    <cellStyle name="Normale" xfId="0" builtinId="0"/>
    <cellStyle name="Normale 2" xfId="13" xr:uid="{00000000-0005-0000-0000-000031000000}"/>
    <cellStyle name="Normale 2 2" xfId="9" xr:uid="{00000000-0005-0000-0000-000032000000}"/>
    <cellStyle name="Normale 3" xfId="64" xr:uid="{00000000-0005-0000-0000-000033000000}"/>
    <cellStyle name="Normale 3 2" xfId="81" xr:uid="{2D0F350A-2AA9-4986-AC7D-9067370D2A92}"/>
    <cellStyle name="Normale 4" xfId="68" xr:uid="{1A3C1B09-096C-457F-AE50-41B1C7C2E477}"/>
    <cellStyle name="Normale 4 2" xfId="108" xr:uid="{44E4770F-9825-4430-A2FC-73110B4A1652}"/>
    <cellStyle name="Normale_Legenda" xfId="12" xr:uid="{00000000-0005-0000-0000-000034000000}"/>
    <cellStyle name="Normale_Pagamenti 2" xfId="3" xr:uid="{00000000-0005-0000-0000-000035000000}"/>
    <cellStyle name="Nota" xfId="27" builtinId="10" customBuiltin="1"/>
    <cellStyle name="Output" xfId="22" builtinId="21" customBuiltin="1"/>
    <cellStyle name="Percentuale" xfId="5" builtinId="5"/>
    <cellStyle name="Testo avviso" xfId="26" builtinId="11" customBuiltin="1"/>
    <cellStyle name="Testo descrittivo" xfId="28" builtinId="53" customBuiltin="1"/>
    <cellStyle name="Titolo 1" xfId="15" builtinId="16" customBuiltin="1"/>
    <cellStyle name="Titolo 2" xfId="16" builtinId="17" customBuiltin="1"/>
    <cellStyle name="Titolo 3" xfId="17" builtinId="18" customBuiltin="1"/>
    <cellStyle name="Titolo 4" xfId="18" builtinId="19" customBuiltin="1"/>
    <cellStyle name="Titolo 5" xfId="48" xr:uid="{00000000-0005-0000-0000-00003F000000}"/>
    <cellStyle name="Totale" xfId="29" builtinId="25" customBuiltin="1"/>
    <cellStyle name="Valore non valido" xfId="20" builtinId="27" customBuiltin="1"/>
    <cellStyle name="Valore valido" xfId="19" builtinId="26" customBuiltin="1"/>
    <cellStyle name="Valuta 2" xfId="56" xr:uid="{00000000-0005-0000-0000-00004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182880</xdr:colOff>
      <xdr:row>24</xdr:row>
      <xdr:rowOff>144780</xdr:rowOff>
    </xdr:from>
    <xdr:to>
      <xdr:col>8</xdr:col>
      <xdr:colOff>1299845</xdr:colOff>
      <xdr:row>27</xdr:row>
      <xdr:rowOff>130810</xdr:rowOff>
    </xdr:to>
    <xdr:pic>
      <xdr:nvPicPr>
        <xdr:cNvPr id="2" name="Immagine 1">
          <a:extLst>
            <a:ext uri="{FF2B5EF4-FFF2-40B4-BE49-F238E27FC236}">
              <a16:creationId xmlns:a16="http://schemas.microsoft.com/office/drawing/2014/main" id="{E3D6CFA7-839F-4EC8-930A-FE5A6659F5E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 y="4579620"/>
          <a:ext cx="6115685" cy="534670"/>
        </a:xfrm>
        <a:prstGeom prst="rect">
          <a:avLst/>
        </a:prstGeom>
        <a:noFill/>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13"/>
  <sheetViews>
    <sheetView view="pageBreakPreview" topLeftCell="A4" zoomScaleNormal="100" zoomScaleSheetLayoutView="100" workbookViewId="0">
      <selection activeCell="H15" sqref="H15"/>
    </sheetView>
  </sheetViews>
  <sheetFormatPr defaultColWidth="9.140625" defaultRowHeight="15" x14ac:dyDescent="0.25"/>
  <cols>
    <col min="9" max="9" width="32.28515625" customWidth="1"/>
  </cols>
  <sheetData>
    <row r="5" spans="1:9" x14ac:dyDescent="0.25">
      <c r="B5" s="45"/>
    </row>
    <row r="8" spans="1:9" ht="15" customHeight="1" x14ac:dyDescent="0.25">
      <c r="A8" s="757" t="s">
        <v>701</v>
      </c>
      <c r="B8" s="757"/>
      <c r="C8" s="757"/>
      <c r="D8" s="757"/>
      <c r="E8" s="757"/>
      <c r="F8" s="757"/>
      <c r="G8" s="757"/>
      <c r="H8" s="757"/>
      <c r="I8" s="757"/>
    </row>
    <row r="9" spans="1:9" ht="15" customHeight="1" x14ac:dyDescent="0.25">
      <c r="A9" s="757"/>
      <c r="B9" s="757"/>
      <c r="C9" s="757"/>
      <c r="D9" s="757"/>
      <c r="E9" s="757"/>
      <c r="F9" s="757"/>
      <c r="G9" s="757"/>
      <c r="H9" s="757"/>
      <c r="I9" s="757"/>
    </row>
    <row r="10" spans="1:9" ht="15" customHeight="1" x14ac:dyDescent="0.25">
      <c r="A10" s="757"/>
      <c r="B10" s="757"/>
      <c r="C10" s="757"/>
      <c r="D10" s="757"/>
      <c r="E10" s="757"/>
      <c r="F10" s="757"/>
      <c r="G10" s="757"/>
      <c r="H10" s="757"/>
      <c r="I10" s="757"/>
    </row>
    <row r="11" spans="1:9" ht="15" customHeight="1" x14ac:dyDescent="0.25">
      <c r="A11" s="757"/>
      <c r="B11" s="757"/>
      <c r="C11" s="757"/>
      <c r="D11" s="757"/>
      <c r="E11" s="757"/>
      <c r="F11" s="757"/>
      <c r="G11" s="757"/>
      <c r="H11" s="757"/>
      <c r="I11" s="757"/>
    </row>
    <row r="12" spans="1:9" ht="15" customHeight="1" x14ac:dyDescent="0.25">
      <c r="A12" s="757"/>
      <c r="B12" s="757"/>
      <c r="C12" s="757"/>
      <c r="D12" s="757"/>
      <c r="E12" s="757"/>
      <c r="F12" s="757"/>
      <c r="G12" s="757"/>
      <c r="H12" s="757"/>
      <c r="I12" s="757"/>
    </row>
    <row r="13" spans="1:9" ht="30.6" customHeight="1" x14ac:dyDescent="0.25">
      <c r="A13" s="757"/>
      <c r="B13" s="757"/>
      <c r="C13" s="757"/>
      <c r="D13" s="757"/>
      <c r="E13" s="757"/>
      <c r="F13" s="757"/>
      <c r="G13" s="757"/>
      <c r="H13" s="757"/>
      <c r="I13" s="757"/>
    </row>
  </sheetData>
  <mergeCells count="1">
    <mergeCell ref="A8:I13"/>
  </mergeCells>
  <printOptions horizontalCentered="1" verticalCentered="1"/>
  <pageMargins left="0.39370078740157483" right="0.39370078740157483" top="0.39370078740157483" bottom="0.39370078740157483" header="0.31496062992125984" footer="0.31496062992125984"/>
  <pageSetup paperSize="9"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23"/>
  <sheetViews>
    <sheetView view="pageBreakPreview" topLeftCell="A8" zoomScaleNormal="100" zoomScaleSheetLayoutView="100" zoomScalePageLayoutView="115" workbookViewId="0">
      <selection activeCell="AA16" activeCellId="1" sqref="Y16 AA16"/>
    </sheetView>
  </sheetViews>
  <sheetFormatPr defaultColWidth="8.7109375" defaultRowHeight="15" x14ac:dyDescent="0.25"/>
  <cols>
    <col min="1" max="1" width="9.140625" customWidth="1"/>
    <col min="2" max="2" width="10.28515625" customWidth="1"/>
    <col min="3" max="3" width="8.85546875" customWidth="1"/>
    <col min="4" max="4" width="11.5703125" customWidth="1"/>
    <col min="5" max="5" width="3.28515625" bestFit="1" customWidth="1"/>
    <col min="6" max="6" width="10" customWidth="1"/>
    <col min="7" max="7" width="4.42578125" bestFit="1" customWidth="1"/>
    <col min="8" max="8" width="5" bestFit="1" customWidth="1"/>
    <col min="9" max="9" width="3.28515625" bestFit="1" customWidth="1"/>
    <col min="10" max="10" width="9.7109375" customWidth="1"/>
    <col min="11" max="12" width="3.28515625" bestFit="1" customWidth="1"/>
    <col min="13" max="13" width="10.140625" customWidth="1"/>
    <col min="14" max="14" width="4.140625" bestFit="1" customWidth="1"/>
    <col min="15" max="15" width="9.28515625" customWidth="1"/>
    <col min="16" max="16" width="9.7109375" customWidth="1"/>
    <col min="17" max="17" width="8.85546875" customWidth="1"/>
    <col min="18" max="18" width="3.28515625" bestFit="1" customWidth="1"/>
    <col min="19" max="19" width="9" customWidth="1"/>
    <col min="20" max="20" width="3.28515625" bestFit="1" customWidth="1"/>
    <col min="21" max="21" width="7.28515625" customWidth="1"/>
    <col min="22" max="22" width="3.28515625" bestFit="1" customWidth="1"/>
    <col min="23" max="23" width="8.85546875" bestFit="1" customWidth="1"/>
    <col min="24" max="24" width="3.28515625" bestFit="1" customWidth="1"/>
    <col min="25" max="25" width="8.85546875" bestFit="1" customWidth="1"/>
    <col min="26" max="26" width="3.28515625" bestFit="1" customWidth="1"/>
    <col min="27" max="27" width="7.7109375" customWidth="1"/>
  </cols>
  <sheetData>
    <row r="1" spans="1:28" x14ac:dyDescent="0.25">
      <c r="A1" s="14" t="s">
        <v>155</v>
      </c>
      <c r="B1" s="14"/>
    </row>
    <row r="2" spans="1:28"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8"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8"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8" s="12" customFormat="1" ht="11.25"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8" s="96" customFormat="1" ht="20.25" customHeight="1" x14ac:dyDescent="0.2">
      <c r="A6" s="173" t="s">
        <v>75</v>
      </c>
      <c r="B6" s="226">
        <v>6321</v>
      </c>
      <c r="C6" s="165">
        <v>2100155.0099999998</v>
      </c>
      <c r="D6" s="336">
        <v>45488</v>
      </c>
      <c r="E6" s="225">
        <v>10</v>
      </c>
      <c r="F6" s="329">
        <v>2072482.0399999998</v>
      </c>
      <c r="G6" s="308">
        <v>0</v>
      </c>
      <c r="H6" s="308">
        <v>0</v>
      </c>
      <c r="I6" s="225">
        <v>9</v>
      </c>
      <c r="J6" s="329">
        <v>1777526.3800000001</v>
      </c>
      <c r="K6" s="397">
        <f>10-1</f>
        <v>9</v>
      </c>
      <c r="L6" s="397">
        <f>10-1</f>
        <v>9</v>
      </c>
      <c r="M6" s="329">
        <f>1909680.6-132154.22</f>
        <v>1777526.3800000001</v>
      </c>
      <c r="N6" s="217">
        <v>1</v>
      </c>
      <c r="O6" s="329">
        <v>132154.22</v>
      </c>
      <c r="P6" s="18">
        <f>J6-M6</f>
        <v>0</v>
      </c>
      <c r="Q6" s="59">
        <f>C6-J6</f>
        <v>322628.62999999966</v>
      </c>
      <c r="R6" s="59">
        <v>3</v>
      </c>
      <c r="S6" s="216">
        <v>151324.70000000001</v>
      </c>
      <c r="T6" s="77">
        <v>0</v>
      </c>
      <c r="U6" s="77">
        <v>0</v>
      </c>
      <c r="V6" s="77">
        <v>0</v>
      </c>
      <c r="W6" s="77">
        <v>0</v>
      </c>
      <c r="X6" s="77">
        <v>0</v>
      </c>
      <c r="Y6" s="77">
        <v>0</v>
      </c>
      <c r="Z6" s="77">
        <v>0</v>
      </c>
      <c r="AA6" s="77">
        <v>0</v>
      </c>
    </row>
    <row r="7" spans="1:28" s="12" customFormat="1" ht="21" customHeight="1" x14ac:dyDescent="0.2">
      <c r="A7" s="19" t="s">
        <v>163</v>
      </c>
      <c r="B7" s="60"/>
      <c r="C7" s="20">
        <f>SUM(C6:C6)</f>
        <v>2100155.0099999998</v>
      </c>
      <c r="D7" s="20"/>
      <c r="E7" s="20">
        <f>E6</f>
        <v>10</v>
      </c>
      <c r="F7" s="20">
        <f t="shared" ref="F7:AA7" si="0">F6</f>
        <v>2072482.0399999998</v>
      </c>
      <c r="G7" s="20">
        <f t="shared" si="0"/>
        <v>0</v>
      </c>
      <c r="H7" s="20">
        <f t="shared" si="0"/>
        <v>0</v>
      </c>
      <c r="I7" s="20">
        <f t="shared" si="0"/>
        <v>9</v>
      </c>
      <c r="J7" s="20">
        <f t="shared" si="0"/>
        <v>1777526.3800000001</v>
      </c>
      <c r="K7" s="20">
        <f t="shared" si="0"/>
        <v>9</v>
      </c>
      <c r="L7" s="20">
        <f t="shared" si="0"/>
        <v>9</v>
      </c>
      <c r="M7" s="20">
        <f t="shared" si="0"/>
        <v>1777526.3800000001</v>
      </c>
      <c r="N7" s="20">
        <f t="shared" si="0"/>
        <v>1</v>
      </c>
      <c r="O7" s="20">
        <f t="shared" si="0"/>
        <v>132154.22</v>
      </c>
      <c r="P7" s="20">
        <f t="shared" si="0"/>
        <v>0</v>
      </c>
      <c r="Q7" s="20">
        <f t="shared" si="0"/>
        <v>322628.62999999966</v>
      </c>
      <c r="R7" s="20">
        <f t="shared" si="0"/>
        <v>3</v>
      </c>
      <c r="S7" s="20">
        <f t="shared" si="0"/>
        <v>151324.70000000001</v>
      </c>
      <c r="T7" s="20">
        <f t="shared" si="0"/>
        <v>0</v>
      </c>
      <c r="U7" s="80">
        <f t="shared" si="0"/>
        <v>0</v>
      </c>
      <c r="V7" s="80">
        <f t="shared" si="0"/>
        <v>0</v>
      </c>
      <c r="W7" s="80">
        <f t="shared" si="0"/>
        <v>0</v>
      </c>
      <c r="X7" s="80">
        <f t="shared" si="0"/>
        <v>0</v>
      </c>
      <c r="Y7" s="80">
        <f t="shared" si="0"/>
        <v>0</v>
      </c>
      <c r="Z7" s="80">
        <f t="shared" si="0"/>
        <v>0</v>
      </c>
      <c r="AA7" s="80">
        <f t="shared" si="0"/>
        <v>0</v>
      </c>
    </row>
    <row r="8" spans="1:28" s="5" customFormat="1" ht="11.25" x14ac:dyDescent="0.2"/>
    <row r="9" spans="1:28" x14ac:dyDescent="0.25">
      <c r="A9" s="14" t="s">
        <v>164</v>
      </c>
      <c r="B9" s="14"/>
    </row>
    <row r="10" spans="1:28" s="12" customFormat="1" ht="28.9" customHeight="1" x14ac:dyDescent="0.2">
      <c r="A10" s="966" t="s">
        <v>156</v>
      </c>
      <c r="B10" s="966" t="s">
        <v>282</v>
      </c>
      <c r="C10" s="966" t="s">
        <v>157</v>
      </c>
      <c r="D10" s="966" t="s">
        <v>158</v>
      </c>
      <c r="E10" s="969" t="s">
        <v>337</v>
      </c>
      <c r="F10" s="970"/>
      <c r="G10" s="969" t="s">
        <v>277</v>
      </c>
      <c r="H10" s="970"/>
      <c r="I10" s="969" t="s">
        <v>159</v>
      </c>
      <c r="J10" s="970"/>
      <c r="K10" s="976" t="s">
        <v>717</v>
      </c>
      <c r="L10" s="977"/>
      <c r="M10" s="977"/>
      <c r="N10" s="977"/>
      <c r="O10" s="978"/>
      <c r="P10" s="966" t="s">
        <v>250</v>
      </c>
      <c r="Q10" s="966" t="s">
        <v>630</v>
      </c>
      <c r="R10" s="969" t="s">
        <v>718</v>
      </c>
      <c r="S10" s="970"/>
      <c r="T10" s="969" t="s">
        <v>719</v>
      </c>
      <c r="U10" s="970"/>
      <c r="V10" s="982" t="s">
        <v>719</v>
      </c>
      <c r="W10" s="982"/>
      <c r="X10" s="982"/>
      <c r="Y10" s="982"/>
      <c r="Z10" s="982"/>
      <c r="AA10" s="982"/>
    </row>
    <row r="11" spans="1:28" s="12" customFormat="1" ht="14.45" customHeight="1" x14ac:dyDescent="0.2">
      <c r="A11" s="967"/>
      <c r="B11" s="967"/>
      <c r="C11" s="967"/>
      <c r="D11" s="967"/>
      <c r="E11" s="971"/>
      <c r="F11" s="972"/>
      <c r="G11" s="971"/>
      <c r="H11" s="972"/>
      <c r="I11" s="971"/>
      <c r="J11" s="972"/>
      <c r="K11" s="976" t="s">
        <v>160</v>
      </c>
      <c r="L11" s="977"/>
      <c r="M11" s="978"/>
      <c r="N11" s="969" t="s">
        <v>631</v>
      </c>
      <c r="O11" s="970"/>
      <c r="P11" s="967"/>
      <c r="Q11" s="967"/>
      <c r="R11" s="971"/>
      <c r="S11" s="972"/>
      <c r="T11" s="971"/>
      <c r="U11" s="972"/>
      <c r="V11" s="982"/>
      <c r="W11" s="982"/>
      <c r="X11" s="982"/>
      <c r="Y11" s="982"/>
      <c r="Z11" s="982"/>
      <c r="AA11" s="982"/>
    </row>
    <row r="12" spans="1:28" s="12" customFormat="1" ht="20.25" customHeight="1" x14ac:dyDescent="0.2">
      <c r="A12" s="967"/>
      <c r="B12" s="967"/>
      <c r="C12" s="967"/>
      <c r="D12" s="967"/>
      <c r="E12" s="973"/>
      <c r="F12" s="974"/>
      <c r="G12" s="973"/>
      <c r="H12" s="974"/>
      <c r="I12" s="973"/>
      <c r="J12" s="974"/>
      <c r="K12" s="979" t="s">
        <v>161</v>
      </c>
      <c r="L12" s="976" t="s">
        <v>247</v>
      </c>
      <c r="M12" s="978"/>
      <c r="N12" s="973"/>
      <c r="O12" s="974"/>
      <c r="P12" s="975"/>
      <c r="Q12" s="975"/>
      <c r="R12" s="973"/>
      <c r="S12" s="974"/>
      <c r="T12" s="973"/>
      <c r="U12" s="974"/>
      <c r="V12" s="982" t="s">
        <v>587</v>
      </c>
      <c r="W12" s="982"/>
      <c r="X12" s="982" t="s">
        <v>588</v>
      </c>
      <c r="Y12" s="982"/>
      <c r="Z12" s="982" t="s">
        <v>589</v>
      </c>
      <c r="AA12" s="982"/>
    </row>
    <row r="13" spans="1:28" s="12" customFormat="1" ht="11.25" x14ac:dyDescent="0.2">
      <c r="A13" s="968"/>
      <c r="B13" s="968"/>
      <c r="C13" s="968"/>
      <c r="D13" s="968"/>
      <c r="E13" s="160" t="s">
        <v>161</v>
      </c>
      <c r="F13" s="130" t="s">
        <v>162</v>
      </c>
      <c r="G13" s="15" t="s">
        <v>161</v>
      </c>
      <c r="H13" s="16" t="s">
        <v>162</v>
      </c>
      <c r="I13" s="160" t="s">
        <v>161</v>
      </c>
      <c r="J13" s="130" t="s">
        <v>162</v>
      </c>
      <c r="K13" s="980"/>
      <c r="L13" s="160" t="s">
        <v>161</v>
      </c>
      <c r="M13" s="130" t="s">
        <v>162</v>
      </c>
      <c r="N13" s="160" t="s">
        <v>161</v>
      </c>
      <c r="O13" s="130" t="s">
        <v>162</v>
      </c>
      <c r="P13" s="16" t="s">
        <v>162</v>
      </c>
      <c r="Q13" s="16" t="s">
        <v>162</v>
      </c>
      <c r="R13" s="15" t="s">
        <v>161</v>
      </c>
      <c r="S13" s="16" t="s">
        <v>162</v>
      </c>
      <c r="T13" s="78" t="s">
        <v>161</v>
      </c>
      <c r="U13" s="79" t="s">
        <v>162</v>
      </c>
      <c r="V13" s="227" t="s">
        <v>161</v>
      </c>
      <c r="W13" s="218" t="s">
        <v>162</v>
      </c>
      <c r="X13" s="227" t="s">
        <v>161</v>
      </c>
      <c r="Y13" s="218" t="s">
        <v>162</v>
      </c>
      <c r="Z13" s="227" t="s">
        <v>161</v>
      </c>
      <c r="AA13" s="218" t="s">
        <v>162</v>
      </c>
    </row>
    <row r="14" spans="1:28" s="96" customFormat="1" ht="28.15" customHeight="1" x14ac:dyDescent="0.2">
      <c r="A14" s="335" t="s">
        <v>258</v>
      </c>
      <c r="B14" s="387" t="s">
        <v>545</v>
      </c>
      <c r="C14" s="417">
        <v>2334291.34</v>
      </c>
      <c r="D14" s="336">
        <v>44104</v>
      </c>
      <c r="E14" s="344">
        <v>26</v>
      </c>
      <c r="F14" s="349">
        <v>3074685</v>
      </c>
      <c r="G14" s="350">
        <v>0</v>
      </c>
      <c r="H14" s="308">
        <v>0</v>
      </c>
      <c r="I14" s="34">
        <v>14</v>
      </c>
      <c r="J14" s="307">
        <v>1509535.75</v>
      </c>
      <c r="K14" s="34">
        <v>14</v>
      </c>
      <c r="L14" s="77">
        <v>14</v>
      </c>
      <c r="M14" s="59">
        <v>1509535.75</v>
      </c>
      <c r="N14" s="217">
        <f>7+5</f>
        <v>12</v>
      </c>
      <c r="O14" s="216">
        <f>740652+719850</f>
        <v>1460502</v>
      </c>
      <c r="P14" s="18">
        <f>J14-M14</f>
        <v>0</v>
      </c>
      <c r="Q14" s="964">
        <v>0</v>
      </c>
      <c r="R14" s="59">
        <v>18</v>
      </c>
      <c r="S14" s="216">
        <v>883811.29</v>
      </c>
      <c r="T14" s="59">
        <v>16</v>
      </c>
      <c r="U14" s="18">
        <v>811310.94</v>
      </c>
      <c r="V14" s="195">
        <v>0</v>
      </c>
      <c r="W14" s="195">
        <v>0</v>
      </c>
      <c r="X14" s="77">
        <v>3</v>
      </c>
      <c r="Y14" s="18">
        <v>196861.87</v>
      </c>
      <c r="Z14" s="195">
        <v>7</v>
      </c>
      <c r="AA14" s="18">
        <v>614449.06999999995</v>
      </c>
    </row>
    <row r="15" spans="1:28" s="96" customFormat="1" ht="33.6" customHeight="1" x14ac:dyDescent="0.2">
      <c r="A15" s="355" t="s">
        <v>632</v>
      </c>
      <c r="B15" s="226" t="s">
        <v>601</v>
      </c>
      <c r="C15" s="184">
        <v>3123967</v>
      </c>
      <c r="D15" s="356">
        <v>45131</v>
      </c>
      <c r="E15" s="59">
        <v>12</v>
      </c>
      <c r="F15" s="59">
        <v>1302744</v>
      </c>
      <c r="G15" s="350">
        <v>0</v>
      </c>
      <c r="H15" s="308">
        <v>0</v>
      </c>
      <c r="I15" s="59">
        <v>12</v>
      </c>
      <c r="J15" s="59">
        <v>1232436</v>
      </c>
      <c r="K15" s="366">
        <v>12</v>
      </c>
      <c r="L15" s="59">
        <v>12</v>
      </c>
      <c r="M15" s="59">
        <v>1232436</v>
      </c>
      <c r="N15" s="59">
        <v>0</v>
      </c>
      <c r="O15" s="59">
        <v>0</v>
      </c>
      <c r="P15" s="59">
        <f>J15-M15</f>
        <v>0</v>
      </c>
      <c r="Q15" s="965"/>
      <c r="R15" s="59">
        <v>11</v>
      </c>
      <c r="S15" s="59">
        <v>833590</v>
      </c>
      <c r="T15" s="59">
        <v>1</v>
      </c>
      <c r="U15" s="59">
        <v>49104</v>
      </c>
      <c r="V15" s="59">
        <v>0</v>
      </c>
      <c r="W15" s="59">
        <v>0</v>
      </c>
      <c r="X15" s="59">
        <v>0</v>
      </c>
      <c r="Y15" s="59">
        <v>0</v>
      </c>
      <c r="Z15" s="59">
        <v>1</v>
      </c>
      <c r="AA15" s="59">
        <v>49104</v>
      </c>
    </row>
    <row r="16" spans="1:28" x14ac:dyDescent="0.25">
      <c r="A16" s="19" t="s">
        <v>165</v>
      </c>
      <c r="B16" s="60"/>
      <c r="C16" s="20">
        <f>SUM(C14:C15)</f>
        <v>5458258.3399999999</v>
      </c>
      <c r="D16" s="20"/>
      <c r="E16" s="20">
        <f>SUM(E14:E15)</f>
        <v>38</v>
      </c>
      <c r="F16" s="20">
        <f t="shared" ref="F16:U16" si="1">SUM(F14:F15)</f>
        <v>4377429</v>
      </c>
      <c r="G16" s="20">
        <f t="shared" si="1"/>
        <v>0</v>
      </c>
      <c r="H16" s="20">
        <f t="shared" si="1"/>
        <v>0</v>
      </c>
      <c r="I16" s="20">
        <f t="shared" si="1"/>
        <v>26</v>
      </c>
      <c r="J16" s="20">
        <f t="shared" si="1"/>
        <v>2741971.75</v>
      </c>
      <c r="K16" s="20">
        <f t="shared" si="1"/>
        <v>26</v>
      </c>
      <c r="L16" s="20">
        <f t="shared" si="1"/>
        <v>26</v>
      </c>
      <c r="M16" s="20">
        <f t="shared" si="1"/>
        <v>2741971.75</v>
      </c>
      <c r="N16" s="20">
        <f t="shared" si="1"/>
        <v>12</v>
      </c>
      <c r="O16" s="20">
        <f t="shared" si="1"/>
        <v>1460502</v>
      </c>
      <c r="P16" s="20">
        <f t="shared" si="1"/>
        <v>0</v>
      </c>
      <c r="Q16" s="20">
        <f t="shared" si="1"/>
        <v>0</v>
      </c>
      <c r="R16" s="20">
        <f t="shared" si="1"/>
        <v>29</v>
      </c>
      <c r="S16" s="20">
        <f t="shared" si="1"/>
        <v>1717401.29</v>
      </c>
      <c r="T16" s="20">
        <f t="shared" si="1"/>
        <v>17</v>
      </c>
      <c r="U16" s="20">
        <f t="shared" si="1"/>
        <v>860414.94</v>
      </c>
      <c r="V16" s="20">
        <f t="shared" ref="V16:AA16" si="2">SUM(V14:V15)</f>
        <v>0</v>
      </c>
      <c r="W16" s="20">
        <f t="shared" si="2"/>
        <v>0</v>
      </c>
      <c r="X16" s="20">
        <f t="shared" si="2"/>
        <v>3</v>
      </c>
      <c r="Y16" s="20">
        <f t="shared" si="2"/>
        <v>196861.87</v>
      </c>
      <c r="Z16" s="20">
        <f t="shared" si="2"/>
        <v>8</v>
      </c>
      <c r="AA16" s="20">
        <f t="shared" si="2"/>
        <v>663553.06999999995</v>
      </c>
      <c r="AB16" s="50"/>
    </row>
    <row r="17" spans="1:27" ht="15" customHeight="1" x14ac:dyDescent="0.25">
      <c r="A17" s="161" t="s">
        <v>390</v>
      </c>
      <c r="B17" s="140"/>
      <c r="C17" s="140"/>
      <c r="D17" s="140"/>
      <c r="E17" s="140"/>
      <c r="F17" s="140"/>
      <c r="G17" s="140"/>
      <c r="H17" s="140"/>
      <c r="I17" s="140"/>
      <c r="J17" s="140"/>
      <c r="K17" s="140"/>
      <c r="L17" s="140"/>
      <c r="M17" s="140"/>
      <c r="N17" s="140"/>
      <c r="O17" s="140"/>
      <c r="P17" s="140"/>
      <c r="Q17" s="140"/>
      <c r="R17" s="140"/>
      <c r="S17" s="140"/>
      <c r="T17" s="140"/>
      <c r="U17" s="140"/>
    </row>
    <row r="18" spans="1:27" s="23" customFormat="1" ht="18.600000000000001" customHeight="1" x14ac:dyDescent="0.25">
      <c r="A18" s="981" t="s">
        <v>732</v>
      </c>
      <c r="B18" s="981"/>
      <c r="C18" s="981"/>
      <c r="D18" s="981"/>
      <c r="E18" s="981"/>
      <c r="F18" s="981"/>
      <c r="G18" s="981"/>
      <c r="H18" s="981"/>
      <c r="I18" s="981"/>
      <c r="J18" s="981"/>
      <c r="K18" s="981"/>
      <c r="L18" s="981"/>
      <c r="M18" s="981"/>
      <c r="N18" s="981"/>
      <c r="O18" s="981"/>
      <c r="P18" s="981"/>
      <c r="Q18" s="981"/>
      <c r="R18" s="981"/>
      <c r="S18" s="981"/>
      <c r="T18" s="981"/>
      <c r="U18" s="981"/>
      <c r="V18" s="981"/>
      <c r="W18" s="981"/>
      <c r="X18" s="981"/>
      <c r="Y18" s="981"/>
      <c r="Z18" s="981"/>
      <c r="AA18" s="981"/>
    </row>
    <row r="19" spans="1:27" x14ac:dyDescent="0.25">
      <c r="A19" s="12"/>
      <c r="B19" s="12"/>
    </row>
    <row r="21" spans="1:27" x14ac:dyDescent="0.25">
      <c r="P21" s="192"/>
    </row>
    <row r="23" spans="1:27" x14ac:dyDescent="0.25">
      <c r="O23" s="192"/>
    </row>
  </sheetData>
  <mergeCells count="42">
    <mergeCell ref="A18:AA18"/>
    <mergeCell ref="V12:W12"/>
    <mergeCell ref="X12:Y12"/>
    <mergeCell ref="Z12:AA12"/>
    <mergeCell ref="V2:AA3"/>
    <mergeCell ref="V4:W4"/>
    <mergeCell ref="X4:Y4"/>
    <mergeCell ref="Z4:AA4"/>
    <mergeCell ref="V10:AA11"/>
    <mergeCell ref="R2:S4"/>
    <mergeCell ref="T2:U4"/>
    <mergeCell ref="A2:A5"/>
    <mergeCell ref="C2:C5"/>
    <mergeCell ref="D2:D5"/>
    <mergeCell ref="P2:P4"/>
    <mergeCell ref="G2:H4"/>
    <mergeCell ref="B2:B5"/>
    <mergeCell ref="K2:O2"/>
    <mergeCell ref="E2:F4"/>
    <mergeCell ref="K4:K5"/>
    <mergeCell ref="N3:O4"/>
    <mergeCell ref="R10:S12"/>
    <mergeCell ref="T10:U12"/>
    <mergeCell ref="K11:M11"/>
    <mergeCell ref="N11:O12"/>
    <mergeCell ref="K12:K13"/>
    <mergeCell ref="L12:M12"/>
    <mergeCell ref="Q2:Q4"/>
    <mergeCell ref="Q10:Q12"/>
    <mergeCell ref="K10:O10"/>
    <mergeCell ref="P10:P12"/>
    <mergeCell ref="I2:J4"/>
    <mergeCell ref="L4:M4"/>
    <mergeCell ref="K3:M3"/>
    <mergeCell ref="Q14:Q15"/>
    <mergeCell ref="A10:A13"/>
    <mergeCell ref="C10:C13"/>
    <mergeCell ref="D10:D13"/>
    <mergeCell ref="E10:F12"/>
    <mergeCell ref="I10:J12"/>
    <mergeCell ref="G10:H12"/>
    <mergeCell ref="B10:B13"/>
  </mergeCells>
  <phoneticPr fontId="33" type="noConversion"/>
  <pageMargins left="0.51181102362204722" right="0.51181102362204722" top="0.74803149606299213" bottom="0.74803149606299213" header="0.31496062992125984" footer="0.31496062992125984"/>
  <pageSetup paperSize="9" scale="7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29"/>
  <sheetViews>
    <sheetView view="pageBreakPreview" topLeftCell="A14" zoomScaleNormal="100" zoomScaleSheetLayoutView="100" workbookViewId="0">
      <selection activeCell="Q24" sqref="Q24"/>
    </sheetView>
  </sheetViews>
  <sheetFormatPr defaultColWidth="8.7109375" defaultRowHeight="15" x14ac:dyDescent="0.25"/>
  <cols>
    <col min="1" max="1" width="10.5703125" customWidth="1"/>
    <col min="2" max="2" width="5.85546875" customWidth="1"/>
    <col min="3" max="3" width="9.42578125" customWidth="1"/>
    <col min="4" max="4" width="8.85546875" bestFit="1" customWidth="1"/>
    <col min="5" max="5" width="4.28515625" bestFit="1" customWidth="1"/>
    <col min="6" max="6" width="9.7109375" bestFit="1" customWidth="1"/>
    <col min="7" max="7" width="3.140625" bestFit="1" customWidth="1"/>
    <col min="8" max="8" width="6.28515625" bestFit="1" customWidth="1"/>
    <col min="9" max="9" width="4.28515625" bestFit="1" customWidth="1"/>
    <col min="10" max="10" width="8.5703125" customWidth="1"/>
    <col min="11" max="12" width="4.28515625" bestFit="1" customWidth="1"/>
    <col min="13" max="13" width="9.140625" customWidth="1"/>
    <col min="14" max="14" width="3.28515625" bestFit="1" customWidth="1"/>
    <col min="15" max="15" width="8.85546875" customWidth="1"/>
    <col min="16" max="16" width="8.7109375" customWidth="1"/>
    <col min="17" max="17" width="7.7109375" customWidth="1"/>
    <col min="18" max="18" width="5" customWidth="1"/>
    <col min="19" max="19" width="9.7109375" bestFit="1" customWidth="1"/>
    <col min="20" max="20" width="5.140625" customWidth="1"/>
    <col min="21" max="21" width="8.140625" customWidth="1"/>
    <col min="22" max="22" width="3.140625" bestFit="1" customWidth="1"/>
    <col min="23" max="23" width="11.140625" bestFit="1" customWidth="1"/>
    <col min="24" max="24" width="3.140625" bestFit="1" customWidth="1"/>
    <col min="25" max="25" width="11.140625" bestFit="1" customWidth="1"/>
    <col min="26" max="26" width="5.7109375" customWidth="1"/>
    <col min="28" max="28" width="10.42578125" bestFit="1" customWidth="1"/>
  </cols>
  <sheetData>
    <row r="1" spans="1:27" x14ac:dyDescent="0.25">
      <c r="A1" s="229" t="s">
        <v>166</v>
      </c>
      <c r="B1" s="229"/>
      <c r="C1" s="229"/>
      <c r="D1" s="229"/>
      <c r="E1" s="229"/>
      <c r="F1" s="229"/>
      <c r="G1" s="229"/>
      <c r="H1" s="229"/>
      <c r="I1" s="229"/>
      <c r="J1" s="229"/>
      <c r="K1" s="229"/>
      <c r="L1" s="229"/>
      <c r="M1" s="229"/>
      <c r="N1" s="229"/>
      <c r="O1" s="229"/>
      <c r="P1" s="229"/>
      <c r="Q1" s="229"/>
      <c r="R1" s="229"/>
      <c r="S1" s="229"/>
      <c r="T1" s="229"/>
      <c r="U1" s="229"/>
      <c r="V1" s="229"/>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x14ac:dyDescent="0.25">
      <c r="A6" s="29" t="s">
        <v>167</v>
      </c>
      <c r="B6" s="29">
        <v>1379</v>
      </c>
      <c r="C6" s="986">
        <f>1349851.24+180000</f>
        <v>1529851.24</v>
      </c>
      <c r="D6" s="309">
        <v>42704</v>
      </c>
      <c r="E6" s="25">
        <v>10</v>
      </c>
      <c r="F6" s="310">
        <v>9744.6299999999992</v>
      </c>
      <c r="G6" s="311">
        <v>0</v>
      </c>
      <c r="H6" s="311">
        <v>0</v>
      </c>
      <c r="I6" s="221">
        <v>3</v>
      </c>
      <c r="J6" s="72">
        <v>1438.37</v>
      </c>
      <c r="K6" s="223">
        <v>3</v>
      </c>
      <c r="L6" s="221">
        <v>3</v>
      </c>
      <c r="M6" s="72">
        <v>1438.37</v>
      </c>
      <c r="N6" s="222">
        <v>5</v>
      </c>
      <c r="O6" s="72">
        <v>6779.57</v>
      </c>
      <c r="P6" s="59">
        <v>0</v>
      </c>
      <c r="Q6" s="964">
        <f>C14-J14</f>
        <v>138642.59999999986</v>
      </c>
      <c r="R6" s="72">
        <v>2</v>
      </c>
      <c r="S6" s="72">
        <v>691.37</v>
      </c>
      <c r="T6" s="72">
        <v>2</v>
      </c>
      <c r="U6" s="72">
        <v>652.83999999999992</v>
      </c>
      <c r="V6" s="72">
        <v>0</v>
      </c>
      <c r="W6" s="72">
        <v>0</v>
      </c>
      <c r="X6" s="72">
        <v>0</v>
      </c>
      <c r="Y6" s="72">
        <v>0</v>
      </c>
      <c r="Z6" s="72">
        <v>2</v>
      </c>
      <c r="AA6" s="72">
        <v>652.83999999999992</v>
      </c>
    </row>
    <row r="7" spans="1:27" s="23" customFormat="1" x14ac:dyDescent="0.25">
      <c r="A7" s="29" t="s">
        <v>168</v>
      </c>
      <c r="B7" s="29">
        <v>2802</v>
      </c>
      <c r="C7" s="987"/>
      <c r="D7" s="309">
        <v>43069</v>
      </c>
      <c r="E7" s="1">
        <v>361</v>
      </c>
      <c r="F7" s="24">
        <v>186599.8</v>
      </c>
      <c r="G7" s="122">
        <v>0</v>
      </c>
      <c r="H7" s="122">
        <v>0</v>
      </c>
      <c r="I7" s="221">
        <v>290</v>
      </c>
      <c r="J7" s="312">
        <f>M7+P7</f>
        <v>142077.01999999999</v>
      </c>
      <c r="K7" s="223">
        <v>290</v>
      </c>
      <c r="L7" s="221">
        <v>289</v>
      </c>
      <c r="M7" s="72">
        <v>142077.01999999999</v>
      </c>
      <c r="N7" s="222">
        <v>70</v>
      </c>
      <c r="O7" s="72">
        <v>36812.85</v>
      </c>
      <c r="P7" s="59">
        <v>0</v>
      </c>
      <c r="Q7" s="992"/>
      <c r="R7" s="72">
        <v>238</v>
      </c>
      <c r="S7" s="72">
        <v>116294.25999999997</v>
      </c>
      <c r="T7" s="72">
        <v>237</v>
      </c>
      <c r="U7" s="72">
        <v>114143.51999999997</v>
      </c>
      <c r="V7" s="72">
        <v>0</v>
      </c>
      <c r="W7" s="72">
        <v>0</v>
      </c>
      <c r="X7" s="72">
        <v>0</v>
      </c>
      <c r="Y7" s="72">
        <v>0</v>
      </c>
      <c r="Z7" s="72">
        <v>237</v>
      </c>
      <c r="AA7" s="72">
        <v>114143.51999999997</v>
      </c>
    </row>
    <row r="8" spans="1:27" s="23" customFormat="1" x14ac:dyDescent="0.25">
      <c r="A8" s="29" t="s">
        <v>169</v>
      </c>
      <c r="B8" s="29">
        <v>20161</v>
      </c>
      <c r="C8" s="987"/>
      <c r="D8" s="309">
        <v>43454.999988425923</v>
      </c>
      <c r="E8" s="1">
        <v>369</v>
      </c>
      <c r="F8" s="24">
        <v>212684.47</v>
      </c>
      <c r="G8" s="122">
        <v>0</v>
      </c>
      <c r="H8" s="122">
        <v>0</v>
      </c>
      <c r="I8" s="221">
        <v>326</v>
      </c>
      <c r="J8" s="72">
        <v>180557.86</v>
      </c>
      <c r="K8" s="223">
        <v>326</v>
      </c>
      <c r="L8" s="221">
        <v>326</v>
      </c>
      <c r="M8" s="72">
        <v>180557.86</v>
      </c>
      <c r="N8" s="222">
        <v>43</v>
      </c>
      <c r="O8" s="72">
        <v>25335</v>
      </c>
      <c r="P8" s="59">
        <v>0</v>
      </c>
      <c r="Q8" s="992"/>
      <c r="R8" s="72">
        <v>258</v>
      </c>
      <c r="S8" s="72">
        <v>138131.18999999997</v>
      </c>
      <c r="T8" s="72">
        <v>244</v>
      </c>
      <c r="U8" s="72">
        <v>128477.40000000001</v>
      </c>
      <c r="V8" s="72">
        <v>0</v>
      </c>
      <c r="W8" s="72">
        <v>0</v>
      </c>
      <c r="X8" s="72">
        <v>0</v>
      </c>
      <c r="Y8" s="72">
        <v>0</v>
      </c>
      <c r="Z8" s="72">
        <v>244</v>
      </c>
      <c r="AA8" s="72">
        <v>128477.40000000001</v>
      </c>
    </row>
    <row r="9" spans="1:27" s="23" customFormat="1" x14ac:dyDescent="0.25">
      <c r="A9" s="181" t="s">
        <v>170</v>
      </c>
      <c r="B9" s="181">
        <v>23562</v>
      </c>
      <c r="C9" s="987"/>
      <c r="D9" s="313">
        <v>43817</v>
      </c>
      <c r="E9" s="164">
        <v>519</v>
      </c>
      <c r="F9" s="122">
        <v>300199</v>
      </c>
      <c r="G9" s="122">
        <v>1</v>
      </c>
      <c r="H9" s="122">
        <v>427.29999999998836</v>
      </c>
      <c r="I9" s="221">
        <v>484</v>
      </c>
      <c r="J9" s="72">
        <v>276073.09999999986</v>
      </c>
      <c r="K9" s="222">
        <v>484</v>
      </c>
      <c r="L9" s="221">
        <v>484</v>
      </c>
      <c r="M9" s="72">
        <v>276073.09999999986</v>
      </c>
      <c r="N9" s="222">
        <v>35</v>
      </c>
      <c r="O9" s="72">
        <v>17846.78</v>
      </c>
      <c r="P9" s="59">
        <v>0</v>
      </c>
      <c r="Q9" s="992"/>
      <c r="R9" s="72">
        <v>418</v>
      </c>
      <c r="S9" s="72">
        <v>233079.5</v>
      </c>
      <c r="T9" s="72">
        <v>403</v>
      </c>
      <c r="U9" s="72">
        <v>228368.96999999994</v>
      </c>
      <c r="V9" s="72">
        <v>0</v>
      </c>
      <c r="W9" s="72">
        <v>0</v>
      </c>
      <c r="X9" s="72">
        <v>0</v>
      </c>
      <c r="Y9" s="72">
        <v>0</v>
      </c>
      <c r="Z9" s="72">
        <v>403</v>
      </c>
      <c r="AA9" s="72">
        <v>228368.96999999994</v>
      </c>
    </row>
    <row r="10" spans="1:27" s="23" customFormat="1" x14ac:dyDescent="0.25">
      <c r="A10" s="181" t="s">
        <v>296</v>
      </c>
      <c r="B10" s="299">
        <v>43023</v>
      </c>
      <c r="C10" s="987"/>
      <c r="D10" s="313">
        <v>44110</v>
      </c>
      <c r="E10" s="299">
        <v>599</v>
      </c>
      <c r="F10" s="159">
        <v>371752.14</v>
      </c>
      <c r="G10" s="122">
        <v>0</v>
      </c>
      <c r="H10" s="122">
        <v>0</v>
      </c>
      <c r="I10" s="221">
        <v>543</v>
      </c>
      <c r="J10" s="159">
        <f>M10+294.63</f>
        <v>319394.27000000019</v>
      </c>
      <c r="K10" s="253">
        <v>543</v>
      </c>
      <c r="L10" s="253">
        <v>542</v>
      </c>
      <c r="M10" s="254">
        <v>319099.64000000019</v>
      </c>
      <c r="N10" s="222">
        <v>42</v>
      </c>
      <c r="O10" s="253">
        <v>27287.059999999998</v>
      </c>
      <c r="P10" s="59">
        <f>J10-M10</f>
        <v>294.63000000000466</v>
      </c>
      <c r="Q10" s="992"/>
      <c r="R10" s="72">
        <v>441</v>
      </c>
      <c r="S10" s="72">
        <v>257586.38999999996</v>
      </c>
      <c r="T10" s="72">
        <v>415</v>
      </c>
      <c r="U10" s="72">
        <v>239727.33000000005</v>
      </c>
      <c r="V10" s="72">
        <v>0</v>
      </c>
      <c r="W10" s="72">
        <v>0</v>
      </c>
      <c r="X10" s="72">
        <v>0</v>
      </c>
      <c r="Y10" s="72">
        <v>0</v>
      </c>
      <c r="Z10" s="72">
        <v>415</v>
      </c>
      <c r="AA10" s="72">
        <v>239727.32999999996</v>
      </c>
    </row>
    <row r="11" spans="1:27" s="23" customFormat="1" x14ac:dyDescent="0.25">
      <c r="A11" s="181" t="s">
        <v>392</v>
      </c>
      <c r="B11" s="299">
        <v>57541</v>
      </c>
      <c r="C11" s="987"/>
      <c r="D11" s="313">
        <v>44546</v>
      </c>
      <c r="E11" s="299">
        <v>590</v>
      </c>
      <c r="F11" s="255">
        <v>381723.71999999956</v>
      </c>
      <c r="G11" s="122">
        <v>0</v>
      </c>
      <c r="H11" s="122">
        <v>0</v>
      </c>
      <c r="I11" s="221">
        <v>533</v>
      </c>
      <c r="J11" s="255">
        <v>325611.56000000006</v>
      </c>
      <c r="K11" s="253">
        <v>533</v>
      </c>
      <c r="L11" s="253">
        <v>533</v>
      </c>
      <c r="M11" s="254">
        <v>325611.56000000006</v>
      </c>
      <c r="N11" s="222">
        <v>57</v>
      </c>
      <c r="O11" s="253">
        <v>29133.049999999996</v>
      </c>
      <c r="P11" s="59">
        <v>0</v>
      </c>
      <c r="Q11" s="992"/>
      <c r="R11" s="72">
        <v>465</v>
      </c>
      <c r="S11" s="72">
        <v>284563.64000000013</v>
      </c>
      <c r="T11" s="72">
        <v>374</v>
      </c>
      <c r="U11" s="72">
        <v>219280.8600000001</v>
      </c>
      <c r="V11" s="72">
        <v>0</v>
      </c>
      <c r="W11" s="72">
        <v>0</v>
      </c>
      <c r="X11" s="72">
        <v>0</v>
      </c>
      <c r="Y11" s="72">
        <v>0</v>
      </c>
      <c r="Z11" s="72">
        <v>374</v>
      </c>
      <c r="AA11" s="72">
        <v>219280.86000000004</v>
      </c>
    </row>
    <row r="12" spans="1:27" s="23" customFormat="1" x14ac:dyDescent="0.25">
      <c r="A12" s="368" t="s">
        <v>528</v>
      </c>
      <c r="B12" s="299">
        <v>66061</v>
      </c>
      <c r="C12" s="988"/>
      <c r="D12" s="313">
        <v>44910</v>
      </c>
      <c r="E12" s="299">
        <v>581</v>
      </c>
      <c r="F12" s="255">
        <v>378305.47</v>
      </c>
      <c r="G12" s="122">
        <v>0</v>
      </c>
      <c r="H12" s="122">
        <v>0</v>
      </c>
      <c r="I12" s="253">
        <v>519</v>
      </c>
      <c r="J12" s="255">
        <f>M12+317.69</f>
        <v>317194.25000000006</v>
      </c>
      <c r="K12" s="253">
        <v>519</v>
      </c>
      <c r="L12" s="253">
        <v>518</v>
      </c>
      <c r="M12" s="253">
        <v>316876.56000000006</v>
      </c>
      <c r="N12" s="222">
        <v>62</v>
      </c>
      <c r="O12" s="253">
        <v>38662.079999999994</v>
      </c>
      <c r="P12" s="59">
        <f>J12-M12</f>
        <v>317.69000000000233</v>
      </c>
      <c r="Q12" s="992"/>
      <c r="R12" s="72">
        <v>445</v>
      </c>
      <c r="S12" s="72">
        <v>276679.59999999998</v>
      </c>
      <c r="T12" s="72">
        <v>311</v>
      </c>
      <c r="U12" s="72">
        <v>180500.09000000003</v>
      </c>
      <c r="V12" s="72">
        <v>0</v>
      </c>
      <c r="W12" s="72">
        <v>0</v>
      </c>
      <c r="X12" s="72">
        <v>0</v>
      </c>
      <c r="Y12" s="72">
        <v>0</v>
      </c>
      <c r="Z12" s="72">
        <v>311</v>
      </c>
      <c r="AA12" s="72">
        <v>180500.09000000003</v>
      </c>
    </row>
    <row r="13" spans="1:27" s="23" customFormat="1" x14ac:dyDescent="0.25">
      <c r="A13" s="162" t="s">
        <v>572</v>
      </c>
      <c r="B13" s="299">
        <v>75022</v>
      </c>
      <c r="C13" s="361">
        <v>400000</v>
      </c>
      <c r="D13" s="313">
        <v>45275</v>
      </c>
      <c r="E13" s="299">
        <v>420</v>
      </c>
      <c r="F13" s="255">
        <v>286307.25000000012</v>
      </c>
      <c r="G13" s="122">
        <v>1</v>
      </c>
      <c r="H13" s="122">
        <v>750.6500000001397</v>
      </c>
      <c r="I13" s="122">
        <v>365</v>
      </c>
      <c r="J13" s="255">
        <f>M13+759.9</f>
        <v>228862.2099999999</v>
      </c>
      <c r="K13" s="122">
        <v>365</v>
      </c>
      <c r="L13" s="122">
        <v>363</v>
      </c>
      <c r="M13" s="122">
        <v>228102.30999999991</v>
      </c>
      <c r="N13" s="222">
        <v>54</v>
      </c>
      <c r="O13" s="253">
        <v>40920.070000000007</v>
      </c>
      <c r="P13" s="59">
        <f>J13-M13</f>
        <v>759.89999999999418</v>
      </c>
      <c r="Q13" s="965"/>
      <c r="R13" s="122">
        <v>289</v>
      </c>
      <c r="S13" s="122">
        <v>180377.34999999986</v>
      </c>
      <c r="T13" s="122">
        <v>79</v>
      </c>
      <c r="U13" s="122">
        <v>44585.770000000011</v>
      </c>
      <c r="V13" s="72">
        <v>0</v>
      </c>
      <c r="W13" s="72">
        <v>0</v>
      </c>
      <c r="X13" s="72">
        <v>0</v>
      </c>
      <c r="Y13" s="72">
        <v>0</v>
      </c>
      <c r="Z13" s="122">
        <v>79</v>
      </c>
      <c r="AA13" s="122">
        <v>44585.770000000011</v>
      </c>
    </row>
    <row r="14" spans="1:27" x14ac:dyDescent="0.25">
      <c r="A14" s="60" t="s">
        <v>171</v>
      </c>
      <c r="B14" s="60"/>
      <c r="C14" s="61">
        <f>SUM(C6:C13)</f>
        <v>1929851.24</v>
      </c>
      <c r="D14" s="61"/>
      <c r="E14" s="61">
        <f>SUM(E6:E13)</f>
        <v>3449</v>
      </c>
      <c r="F14" s="61">
        <f t="shared" ref="F14:Y14" si="0">SUM(F6:F13)</f>
        <v>2127316.4799999995</v>
      </c>
      <c r="G14" s="61">
        <f t="shared" si="0"/>
        <v>2</v>
      </c>
      <c r="H14" s="61">
        <f t="shared" si="0"/>
        <v>1177.9500000001281</v>
      </c>
      <c r="I14" s="61">
        <f t="shared" si="0"/>
        <v>3063</v>
      </c>
      <c r="J14" s="61">
        <f t="shared" si="0"/>
        <v>1791208.6400000001</v>
      </c>
      <c r="K14" s="61">
        <f t="shared" si="0"/>
        <v>3063</v>
      </c>
      <c r="L14" s="61">
        <f t="shared" si="0"/>
        <v>3058</v>
      </c>
      <c r="M14" s="61">
        <f t="shared" si="0"/>
        <v>1789836.42</v>
      </c>
      <c r="N14" s="61">
        <f t="shared" si="0"/>
        <v>368</v>
      </c>
      <c r="O14" s="61">
        <f t="shared" si="0"/>
        <v>222776.46</v>
      </c>
      <c r="P14" s="61">
        <f t="shared" si="0"/>
        <v>1372.2200000000012</v>
      </c>
      <c r="Q14" s="61">
        <f t="shared" si="0"/>
        <v>138642.59999999986</v>
      </c>
      <c r="R14" s="61">
        <f t="shared" si="0"/>
        <v>2556</v>
      </c>
      <c r="S14" s="61">
        <f t="shared" si="0"/>
        <v>1487403.3</v>
      </c>
      <c r="T14" s="61">
        <f t="shared" si="0"/>
        <v>2065</v>
      </c>
      <c r="U14" s="61">
        <f>SUM(U6:U13)-4083.64</f>
        <v>1151653.1400000001</v>
      </c>
      <c r="V14" s="61">
        <f t="shared" si="0"/>
        <v>0</v>
      </c>
      <c r="W14" s="61">
        <f t="shared" si="0"/>
        <v>0</v>
      </c>
      <c r="X14" s="61">
        <f t="shared" si="0"/>
        <v>0</v>
      </c>
      <c r="Y14" s="61">
        <f t="shared" si="0"/>
        <v>0</v>
      </c>
      <c r="Z14" s="61">
        <f t="shared" ref="Z14" si="1">SUM(Z6:Z13)</f>
        <v>2065</v>
      </c>
      <c r="AA14" s="61">
        <f>SUM(AA6:AA13)-4083.64</f>
        <v>1151653.1400000001</v>
      </c>
    </row>
    <row r="15" spans="1:27" ht="13.15" customHeight="1" x14ac:dyDescent="0.25">
      <c r="A15" s="993"/>
      <c r="B15" s="993"/>
      <c r="C15" s="993"/>
      <c r="D15" s="993"/>
      <c r="E15" s="993"/>
      <c r="F15" s="993"/>
      <c r="G15" s="993"/>
      <c r="H15" s="993"/>
      <c r="I15" s="993"/>
      <c r="J15" s="993"/>
      <c r="K15" s="993"/>
      <c r="L15" s="993"/>
      <c r="M15" s="993"/>
      <c r="N15" s="993"/>
      <c r="O15" s="993"/>
      <c r="P15" s="993"/>
      <c r="Q15" s="993"/>
      <c r="R15" s="993"/>
      <c r="S15" s="993"/>
      <c r="T15" s="993"/>
      <c r="U15" s="993"/>
    </row>
    <row r="16" spans="1:27" ht="13.9" customHeight="1" x14ac:dyDescent="0.25">
      <c r="A16" s="229" t="s">
        <v>172</v>
      </c>
      <c r="B16" s="229"/>
      <c r="C16" s="229"/>
      <c r="D16" s="229"/>
      <c r="E16" s="229"/>
      <c r="F16" s="229"/>
      <c r="G16" s="229"/>
      <c r="H16" s="229"/>
      <c r="I16" s="229"/>
      <c r="J16" s="229"/>
      <c r="K16" s="229"/>
      <c r="L16" s="229"/>
      <c r="M16" s="229"/>
      <c r="N16" s="229"/>
      <c r="O16" s="229"/>
      <c r="P16" s="229"/>
      <c r="Q16" s="229"/>
      <c r="R16" s="229"/>
      <c r="S16" s="229"/>
      <c r="T16" s="229"/>
      <c r="U16" s="229"/>
    </row>
    <row r="17" spans="1:28" s="12" customFormat="1" ht="28.9" customHeight="1" x14ac:dyDescent="0.2">
      <c r="A17" s="966" t="s">
        <v>156</v>
      </c>
      <c r="B17" s="966" t="s">
        <v>282</v>
      </c>
      <c r="C17" s="966" t="s">
        <v>157</v>
      </c>
      <c r="D17" s="966" t="s">
        <v>158</v>
      </c>
      <c r="E17" s="969" t="s">
        <v>337</v>
      </c>
      <c r="F17" s="970"/>
      <c r="G17" s="969" t="s">
        <v>277</v>
      </c>
      <c r="H17" s="970"/>
      <c r="I17" s="969" t="s">
        <v>159</v>
      </c>
      <c r="J17" s="970"/>
      <c r="K17" s="976" t="s">
        <v>717</v>
      </c>
      <c r="L17" s="977"/>
      <c r="M17" s="977"/>
      <c r="N17" s="977"/>
      <c r="O17" s="978"/>
      <c r="P17" s="966" t="s">
        <v>250</v>
      </c>
      <c r="Q17" s="966" t="s">
        <v>630</v>
      </c>
      <c r="R17" s="969" t="s">
        <v>718</v>
      </c>
      <c r="S17" s="970"/>
      <c r="T17" s="969" t="s">
        <v>719</v>
      </c>
      <c r="U17" s="970"/>
      <c r="V17" s="982" t="s">
        <v>719</v>
      </c>
      <c r="W17" s="982"/>
      <c r="X17" s="982"/>
      <c r="Y17" s="982"/>
      <c r="Z17" s="982"/>
      <c r="AA17" s="982"/>
    </row>
    <row r="18" spans="1:28" s="12" customFormat="1" ht="14.45" customHeight="1" x14ac:dyDescent="0.2">
      <c r="A18" s="967"/>
      <c r="B18" s="967"/>
      <c r="C18" s="967"/>
      <c r="D18" s="967"/>
      <c r="E18" s="971"/>
      <c r="F18" s="972"/>
      <c r="G18" s="971"/>
      <c r="H18" s="972"/>
      <c r="I18" s="971"/>
      <c r="J18" s="972"/>
      <c r="K18" s="976" t="s">
        <v>160</v>
      </c>
      <c r="L18" s="977"/>
      <c r="M18" s="978"/>
      <c r="N18" s="969" t="s">
        <v>631</v>
      </c>
      <c r="O18" s="970"/>
      <c r="P18" s="967"/>
      <c r="Q18" s="967"/>
      <c r="R18" s="971"/>
      <c r="S18" s="972"/>
      <c r="T18" s="971"/>
      <c r="U18" s="972"/>
      <c r="V18" s="982"/>
      <c r="W18" s="982"/>
      <c r="X18" s="982"/>
      <c r="Y18" s="982"/>
      <c r="Z18" s="982"/>
      <c r="AA18" s="982"/>
    </row>
    <row r="19" spans="1:28" s="12" customFormat="1" ht="20.25" customHeight="1" x14ac:dyDescent="0.2">
      <c r="A19" s="967"/>
      <c r="B19" s="967"/>
      <c r="C19" s="967"/>
      <c r="D19" s="967"/>
      <c r="E19" s="973"/>
      <c r="F19" s="974"/>
      <c r="G19" s="973"/>
      <c r="H19" s="974"/>
      <c r="I19" s="973"/>
      <c r="J19" s="974"/>
      <c r="K19" s="979" t="s">
        <v>161</v>
      </c>
      <c r="L19" s="976" t="s">
        <v>247</v>
      </c>
      <c r="M19" s="978"/>
      <c r="N19" s="973"/>
      <c r="O19" s="974"/>
      <c r="P19" s="975"/>
      <c r="Q19" s="975"/>
      <c r="R19" s="973"/>
      <c r="S19" s="974"/>
      <c r="T19" s="973"/>
      <c r="U19" s="974"/>
      <c r="V19" s="982" t="s">
        <v>587</v>
      </c>
      <c r="W19" s="982"/>
      <c r="X19" s="982" t="s">
        <v>588</v>
      </c>
      <c r="Y19" s="982"/>
      <c r="Z19" s="982" t="s">
        <v>589</v>
      </c>
      <c r="AA19" s="982"/>
    </row>
    <row r="20" spans="1:28" s="12" customFormat="1" ht="21" x14ac:dyDescent="0.2">
      <c r="A20" s="968"/>
      <c r="B20" s="968"/>
      <c r="C20" s="968"/>
      <c r="D20" s="968"/>
      <c r="E20" s="160" t="s">
        <v>161</v>
      </c>
      <c r="F20" s="130" t="s">
        <v>162</v>
      </c>
      <c r="G20" s="15" t="s">
        <v>161</v>
      </c>
      <c r="H20" s="16" t="s">
        <v>162</v>
      </c>
      <c r="I20" s="160" t="s">
        <v>161</v>
      </c>
      <c r="J20" s="130" t="s">
        <v>162</v>
      </c>
      <c r="K20" s="980"/>
      <c r="L20" s="160" t="s">
        <v>161</v>
      </c>
      <c r="M20" s="130" t="s">
        <v>162</v>
      </c>
      <c r="N20" s="160" t="s">
        <v>161</v>
      </c>
      <c r="O20" s="130" t="s">
        <v>162</v>
      </c>
      <c r="P20" s="16" t="s">
        <v>162</v>
      </c>
      <c r="Q20" s="16" t="s">
        <v>162</v>
      </c>
      <c r="R20" s="15" t="s">
        <v>161</v>
      </c>
      <c r="S20" s="16" t="s">
        <v>162</v>
      </c>
      <c r="T20" s="78" t="s">
        <v>161</v>
      </c>
      <c r="U20" s="79" t="s">
        <v>162</v>
      </c>
      <c r="V20" s="227" t="s">
        <v>161</v>
      </c>
      <c r="W20" s="218" t="s">
        <v>162</v>
      </c>
      <c r="X20" s="227" t="s">
        <v>161</v>
      </c>
      <c r="Y20" s="218" t="s">
        <v>162</v>
      </c>
      <c r="Z20" s="227" t="s">
        <v>161</v>
      </c>
      <c r="AA20" s="218" t="s">
        <v>162</v>
      </c>
    </row>
    <row r="21" spans="1:28" s="23" customFormat="1" ht="18" customHeight="1" x14ac:dyDescent="0.25">
      <c r="A21" s="989" t="s">
        <v>78</v>
      </c>
      <c r="B21" s="21">
        <v>8301</v>
      </c>
      <c r="C21" s="984">
        <f>1500000-180000</f>
        <v>1320000</v>
      </c>
      <c r="D21" s="31">
        <v>43100</v>
      </c>
      <c r="E21" s="18">
        <v>2</v>
      </c>
      <c r="F21" s="11">
        <v>406987.53</v>
      </c>
      <c r="G21" s="122">
        <v>1</v>
      </c>
      <c r="H21" s="122">
        <f>F21-J21</f>
        <v>346645.56000000006</v>
      </c>
      <c r="I21" s="34">
        <v>1</v>
      </c>
      <c r="J21" s="71">
        <v>60341.97</v>
      </c>
      <c r="K21" s="18">
        <v>1</v>
      </c>
      <c r="L21" s="3">
        <v>1</v>
      </c>
      <c r="M21" s="71">
        <v>60341.97</v>
      </c>
      <c r="N21" s="3">
        <v>0</v>
      </c>
      <c r="O21" s="3">
        <v>0</v>
      </c>
      <c r="P21" s="18">
        <v>0</v>
      </c>
      <c r="Q21" s="964">
        <f>C21-M21-M22-M23</f>
        <v>644839.74</v>
      </c>
      <c r="R21" s="82">
        <v>1</v>
      </c>
      <c r="S21" s="82">
        <v>61279.79</v>
      </c>
      <c r="T21" s="3">
        <v>1</v>
      </c>
      <c r="U21" s="71">
        <v>60341.97</v>
      </c>
      <c r="V21" s="72">
        <v>0</v>
      </c>
      <c r="W21" s="72">
        <v>0</v>
      </c>
      <c r="X21" s="72">
        <v>0</v>
      </c>
      <c r="Y21" s="72">
        <v>0</v>
      </c>
      <c r="Z21" s="3">
        <v>1</v>
      </c>
      <c r="AA21" s="71">
        <v>60341.97</v>
      </c>
    </row>
    <row r="22" spans="1:28" s="23" customFormat="1" ht="21.75" customHeight="1" x14ac:dyDescent="0.25">
      <c r="A22" s="990"/>
      <c r="B22" s="21">
        <v>11121</v>
      </c>
      <c r="C22" s="985"/>
      <c r="D22" s="31">
        <v>43434.999988425923</v>
      </c>
      <c r="E22" s="1">
        <v>9</v>
      </c>
      <c r="F22" s="28">
        <v>1183118.1399999999</v>
      </c>
      <c r="G22" s="136">
        <v>0</v>
      </c>
      <c r="H22" s="136">
        <v>0</v>
      </c>
      <c r="I22" s="3">
        <v>4</v>
      </c>
      <c r="J22" s="71">
        <v>530818.29</v>
      </c>
      <c r="K22" s="18">
        <v>4</v>
      </c>
      <c r="L22" s="3">
        <v>4</v>
      </c>
      <c r="M22" s="71">
        <v>530818.29</v>
      </c>
      <c r="N22" s="3">
        <v>4</v>
      </c>
      <c r="O22" s="71">
        <v>503004.70999999996</v>
      </c>
      <c r="P22" s="18">
        <v>0</v>
      </c>
      <c r="Q22" s="992"/>
      <c r="R22" s="82">
        <v>5</v>
      </c>
      <c r="S22" s="81">
        <v>587733.42999999993</v>
      </c>
      <c r="T22" s="3">
        <v>5</v>
      </c>
      <c r="U22" s="71">
        <v>530818.29</v>
      </c>
      <c r="V22" s="72">
        <v>0</v>
      </c>
      <c r="W22" s="72">
        <v>0</v>
      </c>
      <c r="X22" s="72">
        <v>0</v>
      </c>
      <c r="Y22" s="72">
        <v>0</v>
      </c>
      <c r="Z22" s="3">
        <v>4</v>
      </c>
      <c r="AA22" s="71">
        <v>530818.29</v>
      </c>
    </row>
    <row r="23" spans="1:28" s="23" customFormat="1" ht="21.75" customHeight="1" x14ac:dyDescent="0.25">
      <c r="A23" s="991"/>
      <c r="B23" s="29">
        <v>66922</v>
      </c>
      <c r="C23" s="300">
        <v>425000</v>
      </c>
      <c r="D23" s="314">
        <v>44910</v>
      </c>
      <c r="E23" s="299">
        <v>1</v>
      </c>
      <c r="F23" s="255">
        <v>84000</v>
      </c>
      <c r="G23" s="122">
        <v>0</v>
      </c>
      <c r="H23" s="122">
        <v>0</v>
      </c>
      <c r="I23" s="282">
        <v>1</v>
      </c>
      <c r="J23" s="255">
        <v>84000</v>
      </c>
      <c r="K23" s="18">
        <v>1</v>
      </c>
      <c r="L23" s="3">
        <v>1</v>
      </c>
      <c r="M23" s="253">
        <v>84000</v>
      </c>
      <c r="N23" s="3">
        <v>0</v>
      </c>
      <c r="O23" s="3">
        <v>0</v>
      </c>
      <c r="P23" s="59">
        <f>J23-M23</f>
        <v>0</v>
      </c>
      <c r="Q23" s="965"/>
      <c r="R23" s="82">
        <v>1</v>
      </c>
      <c r="S23" s="81">
        <v>53000.38</v>
      </c>
      <c r="T23" s="3">
        <v>1</v>
      </c>
      <c r="U23" s="72">
        <v>53000.38</v>
      </c>
      <c r="V23" s="72">
        <v>0</v>
      </c>
      <c r="W23" s="72">
        <v>0</v>
      </c>
      <c r="X23" s="72">
        <v>0</v>
      </c>
      <c r="Y23" s="72">
        <v>0</v>
      </c>
      <c r="Z23" s="3">
        <v>1</v>
      </c>
      <c r="AA23" s="72">
        <v>53000.38</v>
      </c>
    </row>
    <row r="24" spans="1:28" s="23" customFormat="1" x14ac:dyDescent="0.25">
      <c r="A24" s="1" t="s">
        <v>529</v>
      </c>
      <c r="B24" s="29">
        <v>19621</v>
      </c>
      <c r="C24" s="98">
        <v>1200000</v>
      </c>
      <c r="D24" s="111">
        <v>44286</v>
      </c>
      <c r="E24" s="388">
        <v>24</v>
      </c>
      <c r="F24" s="532">
        <v>955191.86</v>
      </c>
      <c r="G24" s="141">
        <v>0</v>
      </c>
      <c r="H24" s="141">
        <v>0</v>
      </c>
      <c r="I24" s="388">
        <v>24</v>
      </c>
      <c r="J24" s="532">
        <f>M24+P24</f>
        <v>952181.13</v>
      </c>
      <c r="K24" s="366">
        <v>23</v>
      </c>
      <c r="L24" s="366">
        <v>22</v>
      </c>
      <c r="M24" s="391">
        <v>894713.13</v>
      </c>
      <c r="N24" s="3">
        <v>0</v>
      </c>
      <c r="O24" s="3">
        <v>0</v>
      </c>
      <c r="P24" s="18">
        <v>57468</v>
      </c>
      <c r="Q24" s="59">
        <f>C24-J24</f>
        <v>247818.87</v>
      </c>
      <c r="R24" s="390">
        <v>9</v>
      </c>
      <c r="S24" s="391">
        <v>334115.59000000003</v>
      </c>
      <c r="T24" s="3">
        <v>6</v>
      </c>
      <c r="U24" s="71">
        <v>203229.59</v>
      </c>
      <c r="V24" s="72">
        <v>0</v>
      </c>
      <c r="W24" s="72">
        <v>0</v>
      </c>
      <c r="X24" s="72">
        <v>0</v>
      </c>
      <c r="Y24" s="72">
        <v>0</v>
      </c>
      <c r="Z24" s="388">
        <v>6</v>
      </c>
      <c r="AA24" s="390">
        <v>203229.59</v>
      </c>
      <c r="AB24" s="287"/>
    </row>
    <row r="25" spans="1:28" x14ac:dyDescent="0.25">
      <c r="A25" s="19" t="s">
        <v>173</v>
      </c>
      <c r="B25" s="60"/>
      <c r="C25" s="20">
        <f>C24+C21</f>
        <v>2520000</v>
      </c>
      <c r="D25" s="20"/>
      <c r="E25" s="20">
        <f>SUM(E21:E24)</f>
        <v>36</v>
      </c>
      <c r="F25" s="20">
        <f t="shared" ref="F25:AA25" si="2">SUM(F21:F24)</f>
        <v>2629297.5299999998</v>
      </c>
      <c r="G25" s="20">
        <f t="shared" si="2"/>
        <v>1</v>
      </c>
      <c r="H25" s="20">
        <f t="shared" si="2"/>
        <v>346645.56000000006</v>
      </c>
      <c r="I25" s="20">
        <f>SUM(I21:I24)</f>
        <v>30</v>
      </c>
      <c r="J25" s="20">
        <f t="shared" si="2"/>
        <v>1627341.3900000001</v>
      </c>
      <c r="K25" s="20">
        <f t="shared" si="2"/>
        <v>29</v>
      </c>
      <c r="L25" s="20">
        <f t="shared" si="2"/>
        <v>28</v>
      </c>
      <c r="M25" s="20">
        <f>SUM(M21:M24)</f>
        <v>1569873.3900000001</v>
      </c>
      <c r="N25" s="20">
        <f t="shared" si="2"/>
        <v>4</v>
      </c>
      <c r="O25" s="20">
        <f t="shared" si="2"/>
        <v>503004.70999999996</v>
      </c>
      <c r="P25" s="20">
        <f t="shared" si="2"/>
        <v>57468</v>
      </c>
      <c r="Q25" s="20">
        <f>SUM(Q21:Q24)</f>
        <v>892658.61</v>
      </c>
      <c r="R25" s="20">
        <f t="shared" si="2"/>
        <v>16</v>
      </c>
      <c r="S25" s="20">
        <f t="shared" si="2"/>
        <v>1036129.19</v>
      </c>
      <c r="T25" s="20">
        <f>SUM(T21:T24)</f>
        <v>13</v>
      </c>
      <c r="U25" s="20">
        <f t="shared" si="2"/>
        <v>847390.23</v>
      </c>
      <c r="V25" s="20">
        <f t="shared" si="2"/>
        <v>0</v>
      </c>
      <c r="W25" s="20">
        <f t="shared" si="2"/>
        <v>0</v>
      </c>
      <c r="X25" s="20">
        <f t="shared" si="2"/>
        <v>0</v>
      </c>
      <c r="Y25" s="20">
        <f t="shared" si="2"/>
        <v>0</v>
      </c>
      <c r="Z25" s="20">
        <f t="shared" si="2"/>
        <v>12</v>
      </c>
      <c r="AA25" s="20">
        <f t="shared" si="2"/>
        <v>847390.23</v>
      </c>
    </row>
    <row r="26" spans="1:28" ht="23.45" customHeight="1" x14ac:dyDescent="0.25">
      <c r="A26" s="983" t="s">
        <v>390</v>
      </c>
      <c r="B26" s="983"/>
      <c r="C26" s="983"/>
      <c r="D26" s="983"/>
      <c r="E26" s="983"/>
      <c r="F26" s="983"/>
      <c r="G26" s="983"/>
      <c r="H26" s="983"/>
      <c r="I26" s="983"/>
      <c r="J26" s="983"/>
      <c r="K26" s="983"/>
      <c r="L26" s="983"/>
      <c r="M26" s="983"/>
      <c r="N26" s="983"/>
      <c r="O26" s="983"/>
      <c r="P26" s="983"/>
      <c r="Q26" s="983"/>
      <c r="R26" s="983"/>
      <c r="S26" s="983"/>
      <c r="T26" s="983"/>
      <c r="U26" s="983"/>
    </row>
    <row r="27" spans="1:28" s="23" customFormat="1" ht="20.45" customHeight="1" x14ac:dyDescent="0.25">
      <c r="A27" s="981" t="s">
        <v>731</v>
      </c>
      <c r="B27" s="981"/>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row>
    <row r="28" spans="1:28" x14ac:dyDescent="0.25">
      <c r="A28" s="12"/>
      <c r="B28" s="12"/>
    </row>
    <row r="29" spans="1:28" x14ac:dyDescent="0.25">
      <c r="E29" s="50"/>
      <c r="I29" s="50"/>
    </row>
  </sheetData>
  <mergeCells count="48">
    <mergeCell ref="A27:AA27"/>
    <mergeCell ref="V19:W19"/>
    <mergeCell ref="X19:Y19"/>
    <mergeCell ref="Z19:AA19"/>
    <mergeCell ref="V2:AA3"/>
    <mergeCell ref="V4:W4"/>
    <mergeCell ref="X4:Y4"/>
    <mergeCell ref="Z4:AA4"/>
    <mergeCell ref="V17:AA18"/>
    <mergeCell ref="R17:S19"/>
    <mergeCell ref="T17:U19"/>
    <mergeCell ref="R2:S4"/>
    <mergeCell ref="K18:M18"/>
    <mergeCell ref="N18:O19"/>
    <mergeCell ref="K19:K20"/>
    <mergeCell ref="L19:M19"/>
    <mergeCell ref="A15:U15"/>
    <mergeCell ref="K4:K5"/>
    <mergeCell ref="G2:H4"/>
    <mergeCell ref="G17:H19"/>
    <mergeCell ref="P17:P19"/>
    <mergeCell ref="T2:U4"/>
    <mergeCell ref="K17:O17"/>
    <mergeCell ref="Q2:Q4"/>
    <mergeCell ref="Q17:Q19"/>
    <mergeCell ref="P2:P4"/>
    <mergeCell ref="Q6:Q13"/>
    <mergeCell ref="I2:J4"/>
    <mergeCell ref="K3:M3"/>
    <mergeCell ref="N3:O4"/>
    <mergeCell ref="L4:M4"/>
    <mergeCell ref="K2:O2"/>
    <mergeCell ref="A26:U26"/>
    <mergeCell ref="C21:C22"/>
    <mergeCell ref="I17:J19"/>
    <mergeCell ref="A2:A5"/>
    <mergeCell ref="D17:D20"/>
    <mergeCell ref="E17:F19"/>
    <mergeCell ref="C6:C12"/>
    <mergeCell ref="A21:A23"/>
    <mergeCell ref="C17:C20"/>
    <mergeCell ref="B17:B20"/>
    <mergeCell ref="B2:B5"/>
    <mergeCell ref="D2:D5"/>
    <mergeCell ref="E2:F4"/>
    <mergeCell ref="C2:C5"/>
    <mergeCell ref="A17:A20"/>
    <mergeCell ref="Q21:Q23"/>
  </mergeCells>
  <phoneticPr fontId="33" type="noConversion"/>
  <pageMargins left="0.7" right="0.7" top="0.75" bottom="0.75" header="0.3" footer="0.3"/>
  <pageSetup paperSize="9" scale="6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DCA56-31CA-43E1-AD8F-FBBA1719ACCA}">
  <dimension ref="A1:H10"/>
  <sheetViews>
    <sheetView workbookViewId="0">
      <selection activeCell="D12" sqref="D12"/>
    </sheetView>
  </sheetViews>
  <sheetFormatPr defaultRowHeight="15" x14ac:dyDescent="0.25"/>
  <cols>
    <col min="1" max="2" width="12.85546875" customWidth="1"/>
    <col min="3" max="8" width="17.28515625" customWidth="1"/>
  </cols>
  <sheetData>
    <row r="1" spans="1:8" x14ac:dyDescent="0.25">
      <c r="A1" s="239" t="s">
        <v>349</v>
      </c>
      <c r="B1" s="239"/>
      <c r="C1" s="239"/>
      <c r="D1" s="239"/>
      <c r="E1" s="239"/>
      <c r="F1" s="239"/>
      <c r="G1" s="239"/>
      <c r="H1" s="239"/>
    </row>
    <row r="2" spans="1:8" x14ac:dyDescent="0.25">
      <c r="A2" s="966" t="s">
        <v>282</v>
      </c>
      <c r="B2" s="966" t="s">
        <v>393</v>
      </c>
      <c r="C2" s="966" t="s">
        <v>394</v>
      </c>
      <c r="D2" s="966" t="s">
        <v>158</v>
      </c>
      <c r="E2" s="997" t="s">
        <v>395</v>
      </c>
      <c r="F2" s="998"/>
      <c r="G2" s="997" t="s">
        <v>418</v>
      </c>
      <c r="H2" s="998"/>
    </row>
    <row r="3" spans="1:8" x14ac:dyDescent="0.25">
      <c r="A3" s="967"/>
      <c r="B3" s="967"/>
      <c r="C3" s="967"/>
      <c r="D3" s="967"/>
      <c r="E3" s="971"/>
      <c r="F3" s="972"/>
      <c r="G3" s="971"/>
      <c r="H3" s="972"/>
    </row>
    <row r="4" spans="1:8" x14ac:dyDescent="0.25">
      <c r="A4" s="967"/>
      <c r="B4" s="967"/>
      <c r="C4" s="967"/>
      <c r="D4" s="967"/>
      <c r="E4" s="973"/>
      <c r="F4" s="974"/>
      <c r="G4" s="973"/>
      <c r="H4" s="974"/>
    </row>
    <row r="5" spans="1:8" x14ac:dyDescent="0.25">
      <c r="A5" s="968"/>
      <c r="B5" s="975"/>
      <c r="C5" s="968"/>
      <c r="D5" s="975"/>
      <c r="E5" s="227" t="s">
        <v>161</v>
      </c>
      <c r="F5" s="218" t="s">
        <v>162</v>
      </c>
      <c r="G5" s="227" t="s">
        <v>161</v>
      </c>
      <c r="H5" s="218" t="s">
        <v>162</v>
      </c>
    </row>
    <row r="6" spans="1:8" x14ac:dyDescent="0.25">
      <c r="A6" s="994">
        <v>19621</v>
      </c>
      <c r="B6" s="233" t="s">
        <v>281</v>
      </c>
      <c r="C6" s="157">
        <v>1200000</v>
      </c>
      <c r="D6" s="110">
        <v>43297</v>
      </c>
      <c r="E6" s="58">
        <v>34</v>
      </c>
      <c r="F6" s="141">
        <v>1703182.64</v>
      </c>
      <c r="G6" s="322">
        <v>34</v>
      </c>
      <c r="H6" s="322">
        <v>1200000</v>
      </c>
    </row>
    <row r="7" spans="1:8" x14ac:dyDescent="0.25">
      <c r="A7" s="941"/>
      <c r="B7" s="233" t="s">
        <v>236</v>
      </c>
      <c r="C7" s="59">
        <v>60000000</v>
      </c>
      <c r="D7" s="110">
        <v>43297</v>
      </c>
      <c r="E7" s="59">
        <v>57</v>
      </c>
      <c r="F7" s="135">
        <v>108076297</v>
      </c>
      <c r="G7" s="142">
        <v>39</v>
      </c>
      <c r="H7" s="59">
        <v>60000000</v>
      </c>
    </row>
    <row r="8" spans="1:8" x14ac:dyDescent="0.25">
      <c r="A8" s="941"/>
      <c r="B8" s="233" t="s">
        <v>275</v>
      </c>
      <c r="C8" s="234">
        <v>16450000</v>
      </c>
      <c r="D8" s="110">
        <v>43297</v>
      </c>
      <c r="E8" s="59">
        <v>57</v>
      </c>
      <c r="F8" s="135">
        <v>34720741</v>
      </c>
      <c r="G8" s="142">
        <v>39</v>
      </c>
      <c r="H8" s="183">
        <v>16450000</v>
      </c>
    </row>
    <row r="9" spans="1:8" x14ac:dyDescent="0.25">
      <c r="A9" s="942"/>
      <c r="B9" s="233" t="s">
        <v>396</v>
      </c>
      <c r="C9" s="234">
        <f>SUM(C6:C8)</f>
        <v>77650000</v>
      </c>
      <c r="D9" s="111"/>
      <c r="E9" s="59">
        <v>57</v>
      </c>
      <c r="F9" s="59">
        <f>SUM(F6:F8)</f>
        <v>144500220.63999999</v>
      </c>
      <c r="G9" s="59">
        <v>39</v>
      </c>
      <c r="H9" s="59">
        <f>SUM(H6:H8)</f>
        <v>77650000</v>
      </c>
    </row>
    <row r="10" spans="1:8" x14ac:dyDescent="0.25">
      <c r="A10" s="995" t="s">
        <v>539</v>
      </c>
      <c r="B10" s="996"/>
      <c r="C10" s="996"/>
      <c r="D10" s="996"/>
      <c r="E10" s="996"/>
      <c r="F10" s="996"/>
      <c r="G10" s="996"/>
      <c r="H10" s="996"/>
    </row>
  </sheetData>
  <mergeCells count="8">
    <mergeCell ref="A6:A9"/>
    <mergeCell ref="A10:H10"/>
    <mergeCell ref="A2:A5"/>
    <mergeCell ref="B2:B5"/>
    <mergeCell ref="C2:C5"/>
    <mergeCell ref="D2:D5"/>
    <mergeCell ref="E2:F4"/>
    <mergeCell ref="G2:H4"/>
  </mergeCell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39"/>
  <sheetViews>
    <sheetView view="pageBreakPreview" topLeftCell="D25" zoomScaleNormal="100" zoomScaleSheetLayoutView="100" workbookViewId="0">
      <selection activeCell="A36" sqref="A36:AA36"/>
    </sheetView>
  </sheetViews>
  <sheetFormatPr defaultColWidth="8.7109375" defaultRowHeight="15" x14ac:dyDescent="0.25"/>
  <cols>
    <col min="1" max="1" width="11.5703125" customWidth="1"/>
    <col min="2" max="2" width="5.7109375" style="13" customWidth="1"/>
    <col min="3" max="3" width="9.7109375" customWidth="1"/>
    <col min="4" max="4" width="9.5703125" customWidth="1"/>
    <col min="5" max="5" width="4.85546875" style="13" bestFit="1" customWidth="1"/>
    <col min="6" max="6" width="10.42578125" bestFit="1" customWidth="1"/>
    <col min="7" max="7" width="3.28515625" style="13" bestFit="1" customWidth="1"/>
    <col min="8" max="8" width="8.7109375" bestFit="1" customWidth="1"/>
    <col min="9" max="9" width="4.28515625" style="13" bestFit="1" customWidth="1"/>
    <col min="10" max="10" width="9.5703125" customWidth="1"/>
    <col min="11" max="11" width="4.28515625" bestFit="1" customWidth="1"/>
    <col min="12" max="12" width="4.28515625" style="13" bestFit="1" customWidth="1"/>
    <col min="13" max="13" width="10.42578125" bestFit="1" customWidth="1"/>
    <col min="14" max="14" width="3.7109375" style="13" customWidth="1"/>
    <col min="15" max="15" width="8.5703125" customWidth="1"/>
    <col min="16" max="16" width="11.28515625" style="13" customWidth="1"/>
    <col min="17" max="17" width="9.140625" style="13" customWidth="1"/>
    <col min="18" max="18" width="5.140625" customWidth="1"/>
    <col min="19" max="19" width="10.42578125" style="4" bestFit="1" customWidth="1"/>
    <col min="20" max="20" width="6.28515625" customWidth="1"/>
    <col min="21" max="21" width="9.85546875" style="4" customWidth="1"/>
    <col min="22" max="22" width="3.7109375" customWidth="1"/>
    <col min="23" max="23" width="11.140625" customWidth="1"/>
    <col min="24" max="24" width="3.140625" bestFit="1" customWidth="1"/>
    <col min="25" max="25" width="9.28515625" customWidth="1"/>
    <col min="26" max="26" width="4.5703125" customWidth="1"/>
    <col min="27" max="27" width="9.28515625" customWidth="1"/>
    <col min="28" max="28" width="12.85546875" bestFit="1" customWidth="1"/>
  </cols>
  <sheetData>
    <row r="1" spans="1:28" s="14" customFormat="1" ht="15" customHeight="1" x14ac:dyDescent="0.25">
      <c r="A1" s="999" t="s">
        <v>174</v>
      </c>
      <c r="B1" s="1000"/>
      <c r="C1" s="999"/>
      <c r="D1" s="999"/>
      <c r="E1" s="999"/>
      <c r="F1" s="999"/>
      <c r="G1" s="1000"/>
      <c r="H1" s="1000"/>
      <c r="I1" s="999"/>
      <c r="J1" s="999"/>
      <c r="K1" s="999"/>
      <c r="L1" s="999"/>
      <c r="M1" s="999"/>
      <c r="N1" s="999"/>
      <c r="O1" s="999"/>
      <c r="P1" s="999"/>
      <c r="Q1" s="1000"/>
      <c r="R1" s="999"/>
      <c r="S1" s="999"/>
      <c r="T1" s="999"/>
      <c r="U1" s="999"/>
    </row>
    <row r="2" spans="1:28"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8"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8"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8"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8" s="177" customFormat="1" ht="15.6" customHeight="1" x14ac:dyDescent="0.2">
      <c r="A6" s="195" t="s">
        <v>175</v>
      </c>
      <c r="B6" s="147">
        <v>1269</v>
      </c>
      <c r="C6" s="165">
        <v>79000000</v>
      </c>
      <c r="D6" s="111">
        <v>42751</v>
      </c>
      <c r="E6" s="59">
        <v>1270</v>
      </c>
      <c r="F6" s="176">
        <v>127622300.15000001</v>
      </c>
      <c r="G6" s="228">
        <v>7</v>
      </c>
      <c r="H6" s="176">
        <v>198710.52</v>
      </c>
      <c r="I6" s="59">
        <f>883+81</f>
        <v>964</v>
      </c>
      <c r="J6" s="176">
        <v>93280897.329999983</v>
      </c>
      <c r="K6" s="59">
        <f>1004-62</f>
        <v>942</v>
      </c>
      <c r="L6" s="392">
        <f>1003-62</f>
        <v>941</v>
      </c>
      <c r="M6" s="393">
        <f>95475232.34-5377336.18</f>
        <v>90097896.159999996</v>
      </c>
      <c r="N6" s="59">
        <f>235+62</f>
        <v>297</v>
      </c>
      <c r="O6" s="165">
        <f>23354377.8+5377336.18</f>
        <v>28731713.98</v>
      </c>
      <c r="P6" s="59">
        <f t="shared" ref="P6:P10" si="0">J6-M6</f>
        <v>3183001.1699999869</v>
      </c>
      <c r="Q6" s="366">
        <f>C6-J6</f>
        <v>-14280897.329999983</v>
      </c>
      <c r="R6" s="59">
        <v>1309</v>
      </c>
      <c r="S6" s="224">
        <v>77545834.469999969</v>
      </c>
      <c r="T6" s="351">
        <v>1252</v>
      </c>
      <c r="U6" s="351">
        <v>73556250.669999883</v>
      </c>
      <c r="V6" s="165">
        <v>42</v>
      </c>
      <c r="W6" s="165">
        <v>2576993.8799999994</v>
      </c>
      <c r="X6" s="165">
        <v>20</v>
      </c>
      <c r="Y6" s="165">
        <v>3189864.5199999996</v>
      </c>
      <c r="Z6" s="165">
        <v>803</v>
      </c>
      <c r="AA6" s="165">
        <v>67789392.269999981</v>
      </c>
      <c r="AB6" s="12"/>
    </row>
    <row r="7" spans="1:28" s="177" customFormat="1" ht="22.5" x14ac:dyDescent="0.25">
      <c r="A7" s="195" t="s">
        <v>81</v>
      </c>
      <c r="B7" s="147" t="s">
        <v>644</v>
      </c>
      <c r="C7" s="165">
        <v>5000000</v>
      </c>
      <c r="D7" s="364">
        <v>43042</v>
      </c>
      <c r="E7" s="59">
        <v>65</v>
      </c>
      <c r="F7" s="176">
        <v>6017263.5999999996</v>
      </c>
      <c r="G7" s="142">
        <v>0</v>
      </c>
      <c r="H7" s="59">
        <v>0</v>
      </c>
      <c r="I7" s="330">
        <f>56-12</f>
        <v>44</v>
      </c>
      <c r="J7" s="206">
        <f>4520894.14-1020760.28</f>
        <v>3500133.8599999994</v>
      </c>
      <c r="K7" s="59">
        <v>44</v>
      </c>
      <c r="L7" s="330">
        <f>56-12</f>
        <v>44</v>
      </c>
      <c r="M7" s="206">
        <f>4520894.14-1020760.28</f>
        <v>3500133.8599999994</v>
      </c>
      <c r="N7" s="59">
        <f>8+12</f>
        <v>20</v>
      </c>
      <c r="O7" s="165">
        <f>552680.39+1020760.28</f>
        <v>1573440.67</v>
      </c>
      <c r="P7" s="59">
        <f t="shared" si="0"/>
        <v>0</v>
      </c>
      <c r="Q7" s="59">
        <f>C7-M7</f>
        <v>1499866.1400000006</v>
      </c>
      <c r="R7" s="59">
        <v>63</v>
      </c>
      <c r="S7" s="224">
        <v>3651536</v>
      </c>
      <c r="T7" s="351">
        <v>63</v>
      </c>
      <c r="U7" s="351">
        <v>3636984.61</v>
      </c>
      <c r="V7" s="165">
        <v>2</v>
      </c>
      <c r="W7" s="165">
        <v>100705.85999999999</v>
      </c>
      <c r="X7" s="59">
        <v>0</v>
      </c>
      <c r="Y7" s="59">
        <v>0</v>
      </c>
      <c r="Z7" s="165">
        <v>44</v>
      </c>
      <c r="AA7" s="165">
        <v>3536278.75</v>
      </c>
    </row>
    <row r="8" spans="1:28" s="177" customFormat="1" ht="22.5" x14ac:dyDescent="0.25">
      <c r="A8" s="143" t="s">
        <v>498</v>
      </c>
      <c r="B8" s="147">
        <v>76824</v>
      </c>
      <c r="C8" s="102">
        <v>12000000</v>
      </c>
      <c r="D8" s="110">
        <v>45322</v>
      </c>
      <c r="E8" s="59">
        <v>1325</v>
      </c>
      <c r="F8" s="176">
        <v>148448724.44</v>
      </c>
      <c r="G8" s="59">
        <v>0</v>
      </c>
      <c r="H8" s="59">
        <v>0</v>
      </c>
      <c r="I8" s="59">
        <v>96</v>
      </c>
      <c r="J8" s="165">
        <v>12000000</v>
      </c>
      <c r="K8" s="366">
        <v>51</v>
      </c>
      <c r="L8" s="392">
        <v>48</v>
      </c>
      <c r="M8" s="376">
        <v>6135152.0299999993</v>
      </c>
      <c r="N8" s="366">
        <v>27</v>
      </c>
      <c r="O8" s="366">
        <v>2959722.2600000002</v>
      </c>
      <c r="P8" s="366">
        <f t="shared" si="0"/>
        <v>5864847.9700000007</v>
      </c>
      <c r="Q8" s="366">
        <v>0</v>
      </c>
      <c r="R8" s="366">
        <v>26</v>
      </c>
      <c r="S8" s="366">
        <v>1797779.66</v>
      </c>
      <c r="T8" s="328">
        <v>15</v>
      </c>
      <c r="U8" s="328">
        <v>984555.69000000006</v>
      </c>
      <c r="V8" s="165">
        <v>14</v>
      </c>
      <c r="W8" s="165">
        <v>952420.45000000007</v>
      </c>
      <c r="X8" s="59">
        <v>0</v>
      </c>
      <c r="Y8" s="59">
        <v>0</v>
      </c>
      <c r="Z8" s="165">
        <v>1</v>
      </c>
      <c r="AA8" s="165">
        <v>32135.24</v>
      </c>
    </row>
    <row r="9" spans="1:28" s="177" customFormat="1" ht="22.5" x14ac:dyDescent="0.25">
      <c r="A9" s="58" t="s">
        <v>496</v>
      </c>
      <c r="B9" s="132">
        <v>77002</v>
      </c>
      <c r="C9" s="103">
        <v>6227346.3799999999</v>
      </c>
      <c r="D9" s="364">
        <v>45363</v>
      </c>
      <c r="E9" s="59">
        <v>155</v>
      </c>
      <c r="F9" s="176">
        <f>10514681.91+H9</f>
        <v>10644885.92</v>
      </c>
      <c r="G9" s="59">
        <v>1</v>
      </c>
      <c r="H9" s="59">
        <v>130204.00999999978</v>
      </c>
      <c r="I9" s="59">
        <v>76</v>
      </c>
      <c r="J9" s="103">
        <v>6227346.3799999999</v>
      </c>
      <c r="K9" s="366">
        <v>65</v>
      </c>
      <c r="L9" s="392">
        <v>65</v>
      </c>
      <c r="M9" s="376">
        <v>4934947.59</v>
      </c>
      <c r="N9" s="366">
        <v>8</v>
      </c>
      <c r="O9" s="366">
        <v>862078.39</v>
      </c>
      <c r="P9" s="366">
        <f t="shared" si="0"/>
        <v>1292398.79</v>
      </c>
      <c r="Q9" s="366">
        <f>C9-J9</f>
        <v>0</v>
      </c>
      <c r="R9" s="366">
        <v>52</v>
      </c>
      <c r="S9" s="366">
        <v>2979221.0700000003</v>
      </c>
      <c r="T9" s="328">
        <v>37</v>
      </c>
      <c r="U9" s="59">
        <v>1956257.6</v>
      </c>
      <c r="V9" s="165">
        <v>12</v>
      </c>
      <c r="W9" s="165">
        <v>477543.8</v>
      </c>
      <c r="X9" s="59">
        <v>1</v>
      </c>
      <c r="Y9" s="59">
        <v>140520.75</v>
      </c>
      <c r="Z9" s="165">
        <v>20</v>
      </c>
      <c r="AA9" s="165">
        <v>1338193.0499999998</v>
      </c>
      <c r="AB9" s="450"/>
    </row>
    <row r="10" spans="1:28" s="177" customFormat="1" ht="21.6" customHeight="1" x14ac:dyDescent="0.25">
      <c r="A10" s="144" t="s">
        <v>89</v>
      </c>
      <c r="B10" s="564">
        <v>2302</v>
      </c>
      <c r="C10" s="165">
        <v>46798515</v>
      </c>
      <c r="D10" s="559">
        <v>42839</v>
      </c>
      <c r="E10" s="83">
        <v>1191</v>
      </c>
      <c r="F10" s="560">
        <v>112129468.3</v>
      </c>
      <c r="G10" s="558">
        <v>107</v>
      </c>
      <c r="H10" s="558">
        <v>6823926.769999966</v>
      </c>
      <c r="I10" s="83">
        <v>630</v>
      </c>
      <c r="J10" s="83">
        <f>M10+1200000</f>
        <v>55724792.490000069</v>
      </c>
      <c r="K10" s="59">
        <v>594</v>
      </c>
      <c r="L10" s="332">
        <v>594</v>
      </c>
      <c r="M10" s="331">
        <v>54524792.490000069</v>
      </c>
      <c r="N10" s="332">
        <v>105</v>
      </c>
      <c r="O10" s="333">
        <v>10809705.489999993</v>
      </c>
      <c r="P10" s="59">
        <f t="shared" si="0"/>
        <v>1200000</v>
      </c>
      <c r="Q10" s="59">
        <v>0</v>
      </c>
      <c r="R10" s="59">
        <v>987</v>
      </c>
      <c r="S10" s="165">
        <v>45941593.900000051</v>
      </c>
      <c r="T10" s="328">
        <v>949</v>
      </c>
      <c r="U10" s="165">
        <f>43526030.35-462638.89</f>
        <v>43063391.460000001</v>
      </c>
      <c r="V10" s="165">
        <v>58</v>
      </c>
      <c r="W10" s="165">
        <f>2866427.29-462638.89</f>
        <v>2403788.4</v>
      </c>
      <c r="X10" s="165">
        <v>12</v>
      </c>
      <c r="Y10" s="165">
        <v>1730617.3900000001</v>
      </c>
      <c r="Z10" s="165">
        <v>452</v>
      </c>
      <c r="AA10" s="165">
        <v>38928985.670000024</v>
      </c>
    </row>
    <row r="11" spans="1:28" s="177" customFormat="1" ht="14.45" customHeight="1" x14ac:dyDescent="0.25">
      <c r="A11" s="195" t="s">
        <v>529</v>
      </c>
      <c r="B11" s="147">
        <v>19621</v>
      </c>
      <c r="C11" s="165">
        <v>60000000</v>
      </c>
      <c r="D11" s="111">
        <v>44286</v>
      </c>
      <c r="E11" s="366">
        <v>857</v>
      </c>
      <c r="F11" s="394">
        <v>74430656.609999999</v>
      </c>
      <c r="G11" s="142">
        <v>24</v>
      </c>
      <c r="H11" s="142">
        <v>2269039</v>
      </c>
      <c r="I11" s="366">
        <f>E11-G11-N11</f>
        <v>735</v>
      </c>
      <c r="J11" s="366">
        <v>64978750.950000003</v>
      </c>
      <c r="K11" s="366">
        <v>728</v>
      </c>
      <c r="L11" s="392">
        <v>672</v>
      </c>
      <c r="M11" s="393">
        <v>58417424.18999999</v>
      </c>
      <c r="N11" s="366">
        <v>98</v>
      </c>
      <c r="O11" s="376">
        <v>4638561.2400000012</v>
      </c>
      <c r="P11" s="59">
        <f>J11-M11</f>
        <v>6561326.7600000128</v>
      </c>
      <c r="Q11" s="59">
        <f>C11-J11</f>
        <v>-4978750.950000003</v>
      </c>
      <c r="R11" s="366">
        <v>591</v>
      </c>
      <c r="S11" s="376">
        <v>44228865.859999977</v>
      </c>
      <c r="T11" s="572">
        <v>576</v>
      </c>
      <c r="U11" s="376">
        <v>38192815.739999972</v>
      </c>
      <c r="V11" s="376">
        <v>75</v>
      </c>
      <c r="W11" s="376">
        <v>3574378.6</v>
      </c>
      <c r="X11" s="376">
        <v>45</v>
      </c>
      <c r="Y11" s="376">
        <v>4659879.7999999989</v>
      </c>
      <c r="Z11" s="376">
        <v>332</v>
      </c>
      <c r="AA11" s="376">
        <v>29958557.339999992</v>
      </c>
    </row>
    <row r="12" spans="1:28" s="5" customFormat="1" ht="11.25" x14ac:dyDescent="0.2">
      <c r="A12" s="60" t="s">
        <v>176</v>
      </c>
      <c r="B12" s="150"/>
      <c r="C12" s="61">
        <f>SUM(C6:C11)</f>
        <v>209025861.38</v>
      </c>
      <c r="D12" s="61"/>
      <c r="E12" s="61">
        <f t="shared" ref="E12:T12" si="1">SUM(E6:E11)</f>
        <v>4863</v>
      </c>
      <c r="F12" s="61">
        <f t="shared" si="1"/>
        <v>479293299.02000004</v>
      </c>
      <c r="G12" s="61">
        <f t="shared" si="1"/>
        <v>139</v>
      </c>
      <c r="H12" s="61">
        <f t="shared" si="1"/>
        <v>9421880.2999999654</v>
      </c>
      <c r="I12" s="61">
        <f t="shared" si="1"/>
        <v>2545</v>
      </c>
      <c r="J12" s="61">
        <f t="shared" si="1"/>
        <v>235711921.01000005</v>
      </c>
      <c r="K12" s="61">
        <f t="shared" si="1"/>
        <v>2424</v>
      </c>
      <c r="L12" s="61">
        <f t="shared" si="1"/>
        <v>2364</v>
      </c>
      <c r="M12" s="61">
        <f t="shared" si="1"/>
        <v>217610346.32000005</v>
      </c>
      <c r="N12" s="61">
        <f t="shared" si="1"/>
        <v>555</v>
      </c>
      <c r="O12" s="61">
        <f t="shared" si="1"/>
        <v>49575222.029999994</v>
      </c>
      <c r="P12" s="61">
        <f t="shared" si="1"/>
        <v>18101574.690000001</v>
      </c>
      <c r="Q12" s="61">
        <f t="shared" si="1"/>
        <v>-17759782.139999986</v>
      </c>
      <c r="R12" s="61">
        <f t="shared" si="1"/>
        <v>3028</v>
      </c>
      <c r="S12" s="61">
        <f t="shared" si="1"/>
        <v>176144830.95999998</v>
      </c>
      <c r="T12" s="61">
        <f t="shared" si="1"/>
        <v>2892</v>
      </c>
      <c r="U12" s="61">
        <f>SUM(U6:U11)-1016012.3</f>
        <v>160374243.46999985</v>
      </c>
      <c r="V12" s="20">
        <f>SUM(V6:V11)</f>
        <v>203</v>
      </c>
      <c r="W12" s="20">
        <f>SUM(W6:W11)-1016012.3</f>
        <v>9069818.6899999976</v>
      </c>
      <c r="X12" s="20">
        <f>SUM(X6:X11)</f>
        <v>78</v>
      </c>
      <c r="Y12" s="20">
        <f>SUM(Y6:Y11)</f>
        <v>9720882.459999999</v>
      </c>
      <c r="Z12" s="20">
        <f>SUM(Z6:Z11)</f>
        <v>1652</v>
      </c>
      <c r="AA12" s="20">
        <f>SUM(AA6:AA11)</f>
        <v>141583542.31999999</v>
      </c>
      <c r="AB12" s="426"/>
    </row>
    <row r="13" spans="1:28" s="131" customFormat="1" ht="12.6" customHeight="1" x14ac:dyDescent="0.2">
      <c r="A13" s="1002" t="s">
        <v>645</v>
      </c>
      <c r="B13" s="1002"/>
      <c r="C13" s="1002"/>
      <c r="D13" s="1002"/>
      <c r="E13" s="1002"/>
      <c r="F13" s="1002"/>
      <c r="G13" s="1002"/>
      <c r="H13" s="1002"/>
      <c r="I13" s="1002"/>
      <c r="J13" s="1002"/>
      <c r="K13" s="1002"/>
      <c r="L13" s="1002"/>
      <c r="M13" s="1002"/>
      <c r="N13" s="1002"/>
      <c r="O13" s="1002"/>
      <c r="P13" s="1002"/>
      <c r="Q13" s="1002"/>
      <c r="R13" s="1002"/>
      <c r="S13" s="1002"/>
      <c r="T13" s="1002"/>
      <c r="U13" s="1002"/>
      <c r="V13" s="1002"/>
      <c r="W13" s="1002"/>
      <c r="X13" s="1002"/>
      <c r="Y13" s="1002"/>
      <c r="Z13" s="1002"/>
      <c r="AA13" s="1002"/>
    </row>
    <row r="14" spans="1:28" s="131" customFormat="1" ht="3.6" customHeight="1" x14ac:dyDescent="0.2">
      <c r="A14" s="1001"/>
      <c r="B14" s="1001"/>
      <c r="C14" s="1001"/>
      <c r="D14" s="1001"/>
      <c r="E14" s="1001"/>
      <c r="F14" s="1001"/>
      <c r="G14" s="1001"/>
      <c r="H14" s="1001"/>
      <c r="I14" s="1001"/>
      <c r="J14" s="1001"/>
      <c r="K14" s="1001"/>
      <c r="L14" s="1001"/>
      <c r="M14" s="1001"/>
      <c r="N14" s="1001"/>
      <c r="O14" s="1001"/>
      <c r="P14" s="1001"/>
      <c r="Q14" s="1001"/>
      <c r="R14" s="1001"/>
      <c r="S14" s="1001"/>
      <c r="T14" s="1001"/>
      <c r="U14" s="1001"/>
      <c r="V14" s="338"/>
      <c r="W14" s="338"/>
      <c r="Y14" s="363"/>
    </row>
    <row r="15" spans="1:28" x14ac:dyDescent="0.25">
      <c r="A15" s="999" t="s">
        <v>177</v>
      </c>
      <c r="B15" s="1000"/>
      <c r="C15" s="999"/>
      <c r="D15" s="999"/>
      <c r="E15" s="999"/>
      <c r="F15" s="999"/>
      <c r="G15" s="1000"/>
      <c r="H15" s="1000"/>
      <c r="I15" s="999"/>
      <c r="J15" s="999"/>
      <c r="K15" s="999"/>
      <c r="L15" s="999"/>
      <c r="M15" s="999"/>
      <c r="N15" s="999"/>
      <c r="O15" s="999"/>
      <c r="P15" s="999"/>
      <c r="Q15" s="1000"/>
      <c r="R15" s="999"/>
      <c r="S15" s="999"/>
      <c r="T15" s="999"/>
      <c r="U15" s="999"/>
      <c r="V15" s="325"/>
      <c r="W15" s="325"/>
    </row>
    <row r="16" spans="1:28" s="12" customFormat="1" ht="28.9" customHeight="1" x14ac:dyDescent="0.2">
      <c r="A16" s="966" t="s">
        <v>156</v>
      </c>
      <c r="B16" s="966" t="s">
        <v>282</v>
      </c>
      <c r="C16" s="966" t="s">
        <v>157</v>
      </c>
      <c r="D16" s="966" t="s">
        <v>158</v>
      </c>
      <c r="E16" s="969" t="s">
        <v>337</v>
      </c>
      <c r="F16" s="970"/>
      <c r="G16" s="969" t="s">
        <v>277</v>
      </c>
      <c r="H16" s="970"/>
      <c r="I16" s="969" t="s">
        <v>159</v>
      </c>
      <c r="J16" s="970"/>
      <c r="K16" s="976" t="s">
        <v>717</v>
      </c>
      <c r="L16" s="977"/>
      <c r="M16" s="977"/>
      <c r="N16" s="977"/>
      <c r="O16" s="978"/>
      <c r="P16" s="966" t="s">
        <v>250</v>
      </c>
      <c r="Q16" s="966" t="s">
        <v>630</v>
      </c>
      <c r="R16" s="969" t="s">
        <v>718</v>
      </c>
      <c r="S16" s="970"/>
      <c r="T16" s="969" t="s">
        <v>719</v>
      </c>
      <c r="U16" s="970"/>
      <c r="V16" s="982" t="s">
        <v>719</v>
      </c>
      <c r="W16" s="982"/>
      <c r="X16" s="982"/>
      <c r="Y16" s="982"/>
      <c r="Z16" s="982"/>
      <c r="AA16" s="982"/>
    </row>
    <row r="17" spans="1:28" s="12" customFormat="1" ht="14.45" customHeight="1" x14ac:dyDescent="0.2">
      <c r="A17" s="967"/>
      <c r="B17" s="967"/>
      <c r="C17" s="967"/>
      <c r="D17" s="967"/>
      <c r="E17" s="971"/>
      <c r="F17" s="972"/>
      <c r="G17" s="971"/>
      <c r="H17" s="972"/>
      <c r="I17" s="971"/>
      <c r="J17" s="972"/>
      <c r="K17" s="976" t="s">
        <v>160</v>
      </c>
      <c r="L17" s="977"/>
      <c r="M17" s="978"/>
      <c r="N17" s="969" t="s">
        <v>631</v>
      </c>
      <c r="O17" s="970"/>
      <c r="P17" s="967"/>
      <c r="Q17" s="967"/>
      <c r="R17" s="971"/>
      <c r="S17" s="972"/>
      <c r="T17" s="971"/>
      <c r="U17" s="972"/>
      <c r="V17" s="982"/>
      <c r="W17" s="982"/>
      <c r="X17" s="982"/>
      <c r="Y17" s="982"/>
      <c r="Z17" s="982"/>
      <c r="AA17" s="982"/>
    </row>
    <row r="18" spans="1:28" s="12" customFormat="1" ht="20.25" customHeight="1" x14ac:dyDescent="0.2">
      <c r="A18" s="967"/>
      <c r="B18" s="967"/>
      <c r="C18" s="967"/>
      <c r="D18" s="967"/>
      <c r="E18" s="973"/>
      <c r="F18" s="974"/>
      <c r="G18" s="973"/>
      <c r="H18" s="974"/>
      <c r="I18" s="973"/>
      <c r="J18" s="974"/>
      <c r="K18" s="979" t="s">
        <v>161</v>
      </c>
      <c r="L18" s="976" t="s">
        <v>247</v>
      </c>
      <c r="M18" s="978"/>
      <c r="N18" s="973"/>
      <c r="O18" s="974"/>
      <c r="P18" s="975"/>
      <c r="Q18" s="975"/>
      <c r="R18" s="973"/>
      <c r="S18" s="974"/>
      <c r="T18" s="973"/>
      <c r="U18" s="974"/>
      <c r="V18" s="982" t="s">
        <v>587</v>
      </c>
      <c r="W18" s="982"/>
      <c r="X18" s="982" t="s">
        <v>588</v>
      </c>
      <c r="Y18" s="982"/>
      <c r="Z18" s="982" t="s">
        <v>589</v>
      </c>
      <c r="AA18" s="982"/>
    </row>
    <row r="19" spans="1:28" s="12" customFormat="1" ht="21" x14ac:dyDescent="0.2">
      <c r="A19" s="968"/>
      <c r="B19" s="968"/>
      <c r="C19" s="968"/>
      <c r="D19" s="968"/>
      <c r="E19" s="160" t="s">
        <v>161</v>
      </c>
      <c r="F19" s="130" t="s">
        <v>162</v>
      </c>
      <c r="G19" s="15" t="s">
        <v>161</v>
      </c>
      <c r="H19" s="16" t="s">
        <v>162</v>
      </c>
      <c r="I19" s="160" t="s">
        <v>161</v>
      </c>
      <c r="J19" s="130" t="s">
        <v>162</v>
      </c>
      <c r="K19" s="980"/>
      <c r="L19" s="160" t="s">
        <v>161</v>
      </c>
      <c r="M19" s="130" t="s">
        <v>162</v>
      </c>
      <c r="N19" s="160" t="s">
        <v>161</v>
      </c>
      <c r="O19" s="130" t="s">
        <v>162</v>
      </c>
      <c r="P19" s="16" t="s">
        <v>162</v>
      </c>
      <c r="Q19" s="16" t="s">
        <v>162</v>
      </c>
      <c r="R19" s="15" t="s">
        <v>161</v>
      </c>
      <c r="S19" s="16" t="s">
        <v>162</v>
      </c>
      <c r="T19" s="78" t="s">
        <v>161</v>
      </c>
      <c r="U19" s="79" t="s">
        <v>162</v>
      </c>
      <c r="V19" s="227" t="s">
        <v>161</v>
      </c>
      <c r="W19" s="218" t="s">
        <v>162</v>
      </c>
      <c r="X19" s="227" t="s">
        <v>161</v>
      </c>
      <c r="Y19" s="218" t="s">
        <v>162</v>
      </c>
      <c r="Z19" s="227" t="s">
        <v>161</v>
      </c>
      <c r="AA19" s="218" t="s">
        <v>162</v>
      </c>
    </row>
    <row r="20" spans="1:28" s="23" customFormat="1" ht="33.75" x14ac:dyDescent="0.25">
      <c r="A20" s="1" t="s">
        <v>83</v>
      </c>
      <c r="B20" s="567">
        <v>1727</v>
      </c>
      <c r="C20" s="32">
        <v>25000000</v>
      </c>
      <c r="D20" s="2">
        <v>42751</v>
      </c>
      <c r="E20" s="1">
        <v>99</v>
      </c>
      <c r="F20" s="172">
        <v>28900644.710000001</v>
      </c>
      <c r="G20" s="148">
        <v>1</v>
      </c>
      <c r="H20" s="59">
        <v>192529.8</v>
      </c>
      <c r="I20" s="18">
        <v>63</v>
      </c>
      <c r="J20" s="99">
        <v>24454949.25</v>
      </c>
      <c r="K20" s="173">
        <v>63</v>
      </c>
      <c r="L20" s="18">
        <v>63</v>
      </c>
      <c r="M20" s="99">
        <v>24454949.25</v>
      </c>
      <c r="N20" s="59">
        <v>35</v>
      </c>
      <c r="O20" s="165">
        <v>3471863.5400000005</v>
      </c>
      <c r="P20" s="18">
        <v>0</v>
      </c>
      <c r="Q20" s="59">
        <f>C20-J20</f>
        <v>545050.75</v>
      </c>
      <c r="R20" s="59">
        <v>94</v>
      </c>
      <c r="S20" s="165">
        <v>23736669.060000014</v>
      </c>
      <c r="T20" s="18">
        <v>94</v>
      </c>
      <c r="U20" s="18">
        <v>23507726.220000006</v>
      </c>
      <c r="V20" s="165">
        <v>2</v>
      </c>
      <c r="W20" s="165">
        <v>125848.67</v>
      </c>
      <c r="X20" s="165">
        <v>2</v>
      </c>
      <c r="Y20" s="165">
        <v>230222.59999999998</v>
      </c>
      <c r="Z20" s="165">
        <v>60</v>
      </c>
      <c r="AA20" s="165">
        <v>23151654.949999996</v>
      </c>
    </row>
    <row r="21" spans="1:28" s="23" customFormat="1" ht="30" customHeight="1" x14ac:dyDescent="0.25">
      <c r="A21" s="58" t="s">
        <v>499</v>
      </c>
      <c r="B21" s="147">
        <v>72266</v>
      </c>
      <c r="C21" s="103">
        <v>11484634.48</v>
      </c>
      <c r="D21" s="2">
        <v>45138</v>
      </c>
      <c r="E21" s="59">
        <v>66</v>
      </c>
      <c r="F21" s="59">
        <v>11029639.649999997</v>
      </c>
      <c r="G21" s="59">
        <v>1</v>
      </c>
      <c r="H21" s="59">
        <f>F21-10762488.29</f>
        <v>267151.35999999754</v>
      </c>
      <c r="I21" s="59">
        <f>E21-N21-G21</f>
        <v>48</v>
      </c>
      <c r="J21" s="59">
        <f>F21-O21-H21</f>
        <v>8558135.1500000004</v>
      </c>
      <c r="K21" s="568">
        <v>42</v>
      </c>
      <c r="L21" s="366">
        <v>42</v>
      </c>
      <c r="M21" s="389">
        <v>7530869.6600000011</v>
      </c>
      <c r="N21" s="366">
        <v>17</v>
      </c>
      <c r="O21" s="376">
        <v>2204353.1399999997</v>
      </c>
      <c r="P21" s="366">
        <f>J21-M21</f>
        <v>1027265.4899999993</v>
      </c>
      <c r="Q21" s="366">
        <f>C21-J21</f>
        <v>2926499.33</v>
      </c>
      <c r="R21" s="366">
        <v>24</v>
      </c>
      <c r="S21" s="376">
        <v>2757645.2600000002</v>
      </c>
      <c r="T21" s="59">
        <v>17</v>
      </c>
      <c r="U21" s="59">
        <v>1801734.27</v>
      </c>
      <c r="V21" s="165">
        <v>11</v>
      </c>
      <c r="W21" s="376">
        <v>1209160.23</v>
      </c>
      <c r="X21" s="376">
        <v>2</v>
      </c>
      <c r="Y21" s="59">
        <v>18928.310000000001</v>
      </c>
      <c r="Z21" s="376">
        <v>4</v>
      </c>
      <c r="AA21" s="59">
        <v>573645.73</v>
      </c>
      <c r="AB21" s="287"/>
    </row>
    <row r="22" spans="1:28" s="23" customFormat="1" x14ac:dyDescent="0.25">
      <c r="A22" s="1" t="s">
        <v>529</v>
      </c>
      <c r="B22" s="132">
        <v>19621</v>
      </c>
      <c r="C22" s="103">
        <v>16450000</v>
      </c>
      <c r="D22" s="111">
        <v>44286</v>
      </c>
      <c r="E22" s="366">
        <v>48</v>
      </c>
      <c r="F22" s="394">
        <v>21544518.960000001</v>
      </c>
      <c r="G22" s="142">
        <v>0</v>
      </c>
      <c r="H22" s="59">
        <v>0</v>
      </c>
      <c r="I22" s="366">
        <v>47</v>
      </c>
      <c r="J22" s="394">
        <f>M22+P22</f>
        <v>20910924.209999997</v>
      </c>
      <c r="K22" s="388">
        <v>45</v>
      </c>
      <c r="L22" s="366">
        <v>43</v>
      </c>
      <c r="M22" s="389">
        <v>19947414.209999997</v>
      </c>
      <c r="N22" s="388">
        <v>1</v>
      </c>
      <c r="O22" s="376">
        <v>130200</v>
      </c>
      <c r="P22" s="59">
        <v>963510</v>
      </c>
      <c r="Q22" s="59">
        <f>C22-J22</f>
        <v>-4460924.2099999972</v>
      </c>
      <c r="R22" s="388">
        <v>39</v>
      </c>
      <c r="S22" s="390">
        <v>14579268.439999999</v>
      </c>
      <c r="T22" s="59">
        <v>37</v>
      </c>
      <c r="U22" s="59">
        <v>12071729.039999999</v>
      </c>
      <c r="V22" s="376">
        <v>9</v>
      </c>
      <c r="W22" s="376">
        <v>2478064.8600000003</v>
      </c>
      <c r="X22" s="376">
        <v>3</v>
      </c>
      <c r="Y22" s="376">
        <v>1673221.6600000001</v>
      </c>
      <c r="Z22" s="376">
        <v>20</v>
      </c>
      <c r="AA22" s="376">
        <v>7920442.5199999996</v>
      </c>
      <c r="AB22" s="324"/>
    </row>
    <row r="23" spans="1:28" x14ac:dyDescent="0.25">
      <c r="A23" s="19" t="s">
        <v>178</v>
      </c>
      <c r="B23" s="150"/>
      <c r="C23" s="20">
        <f>SUM(C20:C22)</f>
        <v>52934634.480000004</v>
      </c>
      <c r="D23" s="20"/>
      <c r="E23" s="20">
        <f>SUM(E20:E22)</f>
        <v>213</v>
      </c>
      <c r="F23" s="20">
        <f t="shared" ref="F23:T23" si="2">SUM(F20:F22)</f>
        <v>61474803.32</v>
      </c>
      <c r="G23" s="20">
        <f t="shared" si="2"/>
        <v>2</v>
      </c>
      <c r="H23" s="20">
        <f t="shared" si="2"/>
        <v>459681.15999999753</v>
      </c>
      <c r="I23" s="20">
        <f>SUM(I20:I22)</f>
        <v>158</v>
      </c>
      <c r="J23" s="20">
        <f t="shared" si="2"/>
        <v>53924008.609999999</v>
      </c>
      <c r="K23" s="20">
        <f t="shared" si="2"/>
        <v>150</v>
      </c>
      <c r="L23" s="20">
        <f t="shared" si="2"/>
        <v>148</v>
      </c>
      <c r="M23" s="20">
        <f t="shared" si="2"/>
        <v>51933233.119999997</v>
      </c>
      <c r="N23" s="20">
        <f t="shared" si="2"/>
        <v>53</v>
      </c>
      <c r="O23" s="20">
        <f t="shared" si="2"/>
        <v>5806416.6799999997</v>
      </c>
      <c r="P23" s="20">
        <f t="shared" si="2"/>
        <v>1990775.4899999993</v>
      </c>
      <c r="Q23" s="20">
        <f>SUM(Q20:Q22)</f>
        <v>-989374.12999999709</v>
      </c>
      <c r="R23" s="20">
        <f t="shared" si="2"/>
        <v>157</v>
      </c>
      <c r="S23" s="20">
        <f t="shared" si="2"/>
        <v>41073582.760000013</v>
      </c>
      <c r="T23" s="20">
        <f t="shared" si="2"/>
        <v>148</v>
      </c>
      <c r="U23" s="20">
        <f>SUM(U20:U22)-140045.64</f>
        <v>37241143.890000001</v>
      </c>
      <c r="V23" s="20">
        <f>SUM(V20:V22)</f>
        <v>22</v>
      </c>
      <c r="W23" s="20">
        <f>SUM(W20:W22)-140045.64</f>
        <v>3673028.12</v>
      </c>
      <c r="X23" s="20">
        <f t="shared" ref="X23:Z23" si="3">SUM(X20:X22)</f>
        <v>7</v>
      </c>
      <c r="Y23" s="20">
        <f>SUM(Y20:Y22)</f>
        <v>1922372.57</v>
      </c>
      <c r="Z23" s="20">
        <f t="shared" si="3"/>
        <v>84</v>
      </c>
      <c r="AA23" s="20">
        <f>SUM(AA20:AA22)</f>
        <v>31645743.199999996</v>
      </c>
      <c r="AB23" s="50"/>
    </row>
    <row r="24" spans="1:28" s="131" customFormat="1" ht="9" customHeight="1" x14ac:dyDescent="0.2">
      <c r="A24" s="1002"/>
      <c r="B24" s="1002"/>
      <c r="C24" s="1002"/>
      <c r="D24" s="1002"/>
      <c r="E24" s="1002"/>
      <c r="F24" s="1002"/>
      <c r="G24" s="1002"/>
      <c r="H24" s="1002"/>
      <c r="I24" s="1002"/>
      <c r="J24" s="1002"/>
      <c r="K24" s="1002"/>
      <c r="L24" s="1002"/>
      <c r="M24" s="1002"/>
      <c r="N24" s="1002"/>
      <c r="O24" s="1002"/>
      <c r="P24" s="1002"/>
      <c r="Q24" s="1002"/>
      <c r="R24" s="1002"/>
      <c r="S24" s="1002"/>
      <c r="T24" s="1002"/>
      <c r="U24" s="1002"/>
      <c r="W24" s="363"/>
    </row>
    <row r="25" spans="1:28" x14ac:dyDescent="0.25">
      <c r="A25" s="999" t="s">
        <v>179</v>
      </c>
      <c r="B25" s="1000"/>
      <c r="C25" s="999"/>
      <c r="D25" s="999"/>
      <c r="E25" s="999"/>
      <c r="F25" s="999"/>
      <c r="G25" s="1000"/>
      <c r="H25" s="1000"/>
      <c r="I25" s="999"/>
      <c r="J25" s="999"/>
      <c r="K25" s="999"/>
      <c r="L25" s="999"/>
      <c r="M25" s="999"/>
      <c r="N25" s="999"/>
      <c r="O25" s="999"/>
      <c r="P25" s="999"/>
      <c r="Q25" s="1000"/>
      <c r="R25" s="999"/>
      <c r="S25" s="999"/>
      <c r="T25" s="999"/>
      <c r="U25" s="999"/>
    </row>
    <row r="26" spans="1:28" s="12" customFormat="1" ht="28.9" customHeight="1" x14ac:dyDescent="0.2">
      <c r="A26" s="966" t="s">
        <v>156</v>
      </c>
      <c r="B26" s="966" t="s">
        <v>282</v>
      </c>
      <c r="C26" s="966" t="s">
        <v>157</v>
      </c>
      <c r="D26" s="966" t="s">
        <v>158</v>
      </c>
      <c r="E26" s="969" t="s">
        <v>337</v>
      </c>
      <c r="F26" s="970"/>
      <c r="G26" s="969" t="s">
        <v>277</v>
      </c>
      <c r="H26" s="970"/>
      <c r="I26" s="969" t="s">
        <v>159</v>
      </c>
      <c r="J26" s="970"/>
      <c r="K26" s="976" t="s">
        <v>717</v>
      </c>
      <c r="L26" s="977"/>
      <c r="M26" s="977"/>
      <c r="N26" s="977"/>
      <c r="O26" s="978"/>
      <c r="P26" s="966" t="s">
        <v>250</v>
      </c>
      <c r="Q26" s="966" t="s">
        <v>630</v>
      </c>
      <c r="R26" s="969" t="s">
        <v>718</v>
      </c>
      <c r="S26" s="970"/>
      <c r="T26" s="969" t="s">
        <v>719</v>
      </c>
      <c r="U26" s="970"/>
      <c r="V26" s="982" t="s">
        <v>719</v>
      </c>
      <c r="W26" s="982"/>
      <c r="X26" s="982"/>
      <c r="Y26" s="982"/>
      <c r="Z26" s="982"/>
      <c r="AA26" s="982"/>
    </row>
    <row r="27" spans="1:28" s="12" customFormat="1" ht="14.45" customHeight="1" x14ac:dyDescent="0.2">
      <c r="A27" s="967"/>
      <c r="B27" s="967"/>
      <c r="C27" s="967"/>
      <c r="D27" s="967"/>
      <c r="E27" s="971"/>
      <c r="F27" s="972"/>
      <c r="G27" s="971"/>
      <c r="H27" s="972"/>
      <c r="I27" s="971"/>
      <c r="J27" s="972"/>
      <c r="K27" s="976" t="s">
        <v>160</v>
      </c>
      <c r="L27" s="977"/>
      <c r="M27" s="978"/>
      <c r="N27" s="969" t="s">
        <v>631</v>
      </c>
      <c r="O27" s="970"/>
      <c r="P27" s="967"/>
      <c r="Q27" s="967"/>
      <c r="R27" s="971"/>
      <c r="S27" s="972"/>
      <c r="T27" s="971"/>
      <c r="U27" s="972"/>
      <c r="V27" s="982"/>
      <c r="W27" s="982"/>
      <c r="X27" s="982"/>
      <c r="Y27" s="982"/>
      <c r="Z27" s="982"/>
      <c r="AA27" s="982"/>
    </row>
    <row r="28" spans="1:28" s="12" customFormat="1" ht="20.25" customHeight="1" x14ac:dyDescent="0.2">
      <c r="A28" s="967"/>
      <c r="B28" s="967"/>
      <c r="C28" s="967"/>
      <c r="D28" s="967"/>
      <c r="E28" s="973"/>
      <c r="F28" s="974"/>
      <c r="G28" s="973"/>
      <c r="H28" s="974"/>
      <c r="I28" s="973"/>
      <c r="J28" s="974"/>
      <c r="K28" s="979" t="s">
        <v>161</v>
      </c>
      <c r="L28" s="976" t="s">
        <v>247</v>
      </c>
      <c r="M28" s="978"/>
      <c r="N28" s="973"/>
      <c r="O28" s="974"/>
      <c r="P28" s="975"/>
      <c r="Q28" s="975"/>
      <c r="R28" s="973"/>
      <c r="S28" s="974"/>
      <c r="T28" s="973"/>
      <c r="U28" s="974"/>
      <c r="V28" s="982" t="s">
        <v>587</v>
      </c>
      <c r="W28" s="982"/>
      <c r="X28" s="982" t="s">
        <v>588</v>
      </c>
      <c r="Y28" s="982"/>
      <c r="Z28" s="982" t="s">
        <v>589</v>
      </c>
      <c r="AA28" s="982"/>
    </row>
    <row r="29" spans="1:28" s="12" customFormat="1" ht="21" x14ac:dyDescent="0.2">
      <c r="A29" s="968"/>
      <c r="B29" s="968"/>
      <c r="C29" s="968"/>
      <c r="D29" s="968"/>
      <c r="E29" s="160" t="s">
        <v>161</v>
      </c>
      <c r="F29" s="130" t="s">
        <v>162</v>
      </c>
      <c r="G29" s="15" t="s">
        <v>161</v>
      </c>
      <c r="H29" s="16" t="s">
        <v>162</v>
      </c>
      <c r="I29" s="160" t="s">
        <v>161</v>
      </c>
      <c r="J29" s="130" t="s">
        <v>162</v>
      </c>
      <c r="K29" s="980"/>
      <c r="L29" s="160" t="s">
        <v>161</v>
      </c>
      <c r="M29" s="130" t="s">
        <v>162</v>
      </c>
      <c r="N29" s="160" t="s">
        <v>161</v>
      </c>
      <c r="O29" s="130" t="s">
        <v>162</v>
      </c>
      <c r="P29" s="16" t="s">
        <v>162</v>
      </c>
      <c r="Q29" s="16" t="s">
        <v>162</v>
      </c>
      <c r="R29" s="15" t="s">
        <v>161</v>
      </c>
      <c r="S29" s="16" t="s">
        <v>162</v>
      </c>
      <c r="T29" s="78" t="s">
        <v>161</v>
      </c>
      <c r="U29" s="79" t="s">
        <v>162</v>
      </c>
      <c r="V29" s="227" t="s">
        <v>161</v>
      </c>
      <c r="W29" s="218" t="s">
        <v>162</v>
      </c>
      <c r="X29" s="227" t="s">
        <v>161</v>
      </c>
      <c r="Y29" s="218" t="s">
        <v>162</v>
      </c>
      <c r="Z29" s="227" t="s">
        <v>161</v>
      </c>
      <c r="AA29" s="218" t="s">
        <v>162</v>
      </c>
    </row>
    <row r="30" spans="1:28" s="23" customFormat="1" ht="22.5" x14ac:dyDescent="0.25">
      <c r="A30" s="171" t="s">
        <v>180</v>
      </c>
      <c r="B30" s="567">
        <v>7582</v>
      </c>
      <c r="C30" s="32">
        <f>50698156+4950000</f>
        <v>55648156</v>
      </c>
      <c r="D30" s="354">
        <v>43014</v>
      </c>
      <c r="E30" s="59">
        <v>315</v>
      </c>
      <c r="F30" s="172">
        <v>67768699.75</v>
      </c>
      <c r="G30" s="148">
        <v>0</v>
      </c>
      <c r="H30" s="148">
        <v>0</v>
      </c>
      <c r="I30" s="59">
        <v>258</v>
      </c>
      <c r="J30" s="32">
        <v>45881665.270000026</v>
      </c>
      <c r="K30" s="173">
        <v>247</v>
      </c>
      <c r="L30" s="59">
        <v>246</v>
      </c>
      <c r="M30" s="99">
        <v>42941633.430000022</v>
      </c>
      <c r="N30" s="186">
        <v>51</v>
      </c>
      <c r="O30" s="165">
        <v>10897343.410000002</v>
      </c>
      <c r="P30" s="59">
        <f>J30-M30</f>
        <v>2940031.8400000036</v>
      </c>
      <c r="Q30" s="59">
        <v>0</v>
      </c>
      <c r="R30" s="18">
        <v>223</v>
      </c>
      <c r="S30" s="32">
        <v>33043568.72000001</v>
      </c>
      <c r="T30" s="18">
        <v>142</v>
      </c>
      <c r="U30" s="18">
        <v>20157384.060000014</v>
      </c>
      <c r="V30" s="18">
        <v>8</v>
      </c>
      <c r="W30" s="18">
        <v>962907.07999999984</v>
      </c>
      <c r="X30" s="18">
        <v>1</v>
      </c>
      <c r="Y30" s="18">
        <v>79066.070000000007</v>
      </c>
      <c r="Z30" s="18">
        <v>115</v>
      </c>
      <c r="AA30" s="18">
        <v>19115410.910000004</v>
      </c>
    </row>
    <row r="31" spans="1:28" s="23" customFormat="1" ht="24.6" customHeight="1" x14ac:dyDescent="0.25">
      <c r="A31" s="171" t="s">
        <v>181</v>
      </c>
      <c r="B31" s="147">
        <v>10643</v>
      </c>
      <c r="C31" s="32">
        <v>12242741</v>
      </c>
      <c r="D31" s="174">
        <v>43160</v>
      </c>
      <c r="E31" s="59">
        <v>37</v>
      </c>
      <c r="F31" s="172">
        <v>12431249.279999999</v>
      </c>
      <c r="G31" s="148">
        <v>0</v>
      </c>
      <c r="H31" s="148">
        <v>0</v>
      </c>
      <c r="I31" s="59">
        <v>24</v>
      </c>
      <c r="J31" s="175">
        <v>7719374.6399999997</v>
      </c>
      <c r="K31" s="173">
        <v>23</v>
      </c>
      <c r="L31" s="59">
        <v>23</v>
      </c>
      <c r="M31" s="99">
        <v>7139028.7700000005</v>
      </c>
      <c r="N31" s="186">
        <v>13</v>
      </c>
      <c r="O31" s="165">
        <v>3631819.16</v>
      </c>
      <c r="P31" s="59">
        <f>J31-M31</f>
        <v>580345.86999999918</v>
      </c>
      <c r="Q31" s="964">
        <v>2800000</v>
      </c>
      <c r="R31" s="18">
        <v>24</v>
      </c>
      <c r="S31" s="32">
        <v>4710900.01</v>
      </c>
      <c r="T31" s="58">
        <v>19</v>
      </c>
      <c r="U31" s="18">
        <v>3315516.27</v>
      </c>
      <c r="V31" s="18">
        <v>1</v>
      </c>
      <c r="W31" s="18">
        <v>171160.84</v>
      </c>
      <c r="X31" s="59">
        <v>0</v>
      </c>
      <c r="Y31" s="59">
        <v>0</v>
      </c>
      <c r="Z31" s="18">
        <v>12</v>
      </c>
      <c r="AA31" s="18">
        <v>3144355.43</v>
      </c>
    </row>
    <row r="32" spans="1:28" s="23" customFormat="1" ht="45" x14ac:dyDescent="0.25">
      <c r="A32" s="171" t="s">
        <v>567</v>
      </c>
      <c r="B32" s="147">
        <v>74261</v>
      </c>
      <c r="C32" s="165">
        <v>3412416.41</v>
      </c>
      <c r="D32" s="111">
        <v>45119</v>
      </c>
      <c r="E32" s="59">
        <v>9</v>
      </c>
      <c r="F32" s="59">
        <v>6542998.4000000004</v>
      </c>
      <c r="G32" s="59">
        <v>0</v>
      </c>
      <c r="H32" s="59">
        <v>0</v>
      </c>
      <c r="I32" s="59">
        <v>5</v>
      </c>
      <c r="J32" s="165">
        <v>4249998.4000000004</v>
      </c>
      <c r="K32" s="59">
        <v>2</v>
      </c>
      <c r="L32" s="59">
        <v>2</v>
      </c>
      <c r="M32" s="165">
        <v>1301166.6600000001</v>
      </c>
      <c r="N32" s="366">
        <v>2</v>
      </c>
      <c r="O32" s="366">
        <v>1699998.4</v>
      </c>
      <c r="P32" s="59">
        <f>J32-M32</f>
        <v>2948831.74</v>
      </c>
      <c r="Q32" s="965"/>
      <c r="R32" s="59">
        <v>1</v>
      </c>
      <c r="S32" s="59">
        <v>267296.22000000003</v>
      </c>
      <c r="T32" s="59">
        <v>1</v>
      </c>
      <c r="U32" s="59">
        <v>267296.21999999997</v>
      </c>
      <c r="V32" s="59">
        <v>1</v>
      </c>
      <c r="W32" s="59">
        <v>267296.21999999997</v>
      </c>
      <c r="X32" s="59">
        <v>0</v>
      </c>
      <c r="Y32" s="59">
        <v>0</v>
      </c>
      <c r="Z32" s="59">
        <v>0</v>
      </c>
      <c r="AA32" s="59">
        <v>0</v>
      </c>
    </row>
    <row r="33" spans="1:27" x14ac:dyDescent="0.25">
      <c r="A33" s="19" t="s">
        <v>182</v>
      </c>
      <c r="B33" s="150"/>
      <c r="C33" s="20">
        <f>SUM(C30:C32)</f>
        <v>71303313.409999996</v>
      </c>
      <c r="D33" s="20"/>
      <c r="E33" s="20">
        <f>SUM(E30:E32)</f>
        <v>361</v>
      </c>
      <c r="F33" s="20">
        <f t="shared" ref="F33:U33" si="4">SUM(F30:F32)</f>
        <v>86742947.430000007</v>
      </c>
      <c r="G33" s="20">
        <f t="shared" si="4"/>
        <v>0</v>
      </c>
      <c r="H33" s="20">
        <f t="shared" si="4"/>
        <v>0</v>
      </c>
      <c r="I33" s="20">
        <f t="shared" si="4"/>
        <v>287</v>
      </c>
      <c r="J33" s="20">
        <f t="shared" si="4"/>
        <v>57851038.310000025</v>
      </c>
      <c r="K33" s="20">
        <f t="shared" si="4"/>
        <v>272</v>
      </c>
      <c r="L33" s="20">
        <f t="shared" si="4"/>
        <v>271</v>
      </c>
      <c r="M33" s="20">
        <f t="shared" si="4"/>
        <v>51381828.860000029</v>
      </c>
      <c r="N33" s="20">
        <f t="shared" si="4"/>
        <v>66</v>
      </c>
      <c r="O33" s="20">
        <f t="shared" si="4"/>
        <v>16229160.970000003</v>
      </c>
      <c r="P33" s="20">
        <f t="shared" si="4"/>
        <v>6469209.450000003</v>
      </c>
      <c r="Q33" s="20">
        <f t="shared" si="4"/>
        <v>2800000</v>
      </c>
      <c r="R33" s="20">
        <f t="shared" si="4"/>
        <v>248</v>
      </c>
      <c r="S33" s="20">
        <f t="shared" si="4"/>
        <v>38021764.95000001</v>
      </c>
      <c r="T33" s="20">
        <f t="shared" si="4"/>
        <v>162</v>
      </c>
      <c r="U33" s="20">
        <f t="shared" si="4"/>
        <v>23740196.550000012</v>
      </c>
      <c r="V33" s="20">
        <f t="shared" ref="V33:Z33" si="5">SUM(V30:V32)</f>
        <v>10</v>
      </c>
      <c r="W33" s="20">
        <f t="shared" si="5"/>
        <v>1401364.14</v>
      </c>
      <c r="X33" s="20">
        <f t="shared" si="5"/>
        <v>1</v>
      </c>
      <c r="Y33" s="20">
        <f t="shared" si="5"/>
        <v>79066.070000000007</v>
      </c>
      <c r="Z33" s="20">
        <f t="shared" si="5"/>
        <v>127</v>
      </c>
      <c r="AA33" s="20">
        <f>SUM(AA30:AA32)</f>
        <v>22259766.340000004</v>
      </c>
    </row>
    <row r="34" spans="1:27" ht="15" customHeight="1" x14ac:dyDescent="0.25">
      <c r="A34" s="983" t="s">
        <v>390</v>
      </c>
      <c r="B34" s="983"/>
      <c r="C34" s="983"/>
      <c r="D34" s="983"/>
      <c r="E34" s="983"/>
      <c r="F34" s="983"/>
      <c r="G34" s="983"/>
      <c r="H34" s="983"/>
      <c r="I34" s="983"/>
      <c r="J34" s="983"/>
      <c r="K34" s="983"/>
      <c r="L34" s="983"/>
      <c r="M34" s="983"/>
      <c r="N34" s="983"/>
      <c r="O34" s="983"/>
      <c r="P34" s="983"/>
      <c r="Q34" s="983"/>
      <c r="R34" s="983"/>
      <c r="S34" s="983"/>
      <c r="T34" s="983"/>
      <c r="U34" s="983"/>
    </row>
    <row r="35" spans="1:27" ht="15" customHeight="1" x14ac:dyDescent="0.25">
      <c r="A35" s="1003" t="s">
        <v>624</v>
      </c>
      <c r="B35" s="1003"/>
      <c r="C35" s="1003"/>
      <c r="D35" s="1003"/>
      <c r="E35" s="1003"/>
      <c r="F35" s="1003"/>
      <c r="G35" s="1003"/>
      <c r="H35" s="1003"/>
      <c r="I35" s="1003"/>
      <c r="J35" s="1003"/>
      <c r="K35" s="1003"/>
      <c r="L35" s="1003"/>
      <c r="M35" s="1003"/>
      <c r="N35" s="1003"/>
      <c r="O35" s="1003"/>
      <c r="P35" s="1003"/>
      <c r="Q35" s="1003"/>
      <c r="R35" s="1003"/>
      <c r="S35" s="1003"/>
      <c r="T35" s="1003"/>
      <c r="U35" s="1003"/>
      <c r="W35" s="295"/>
      <c r="Z35" s="50"/>
    </row>
    <row r="36" spans="1:27" s="23" customFormat="1" ht="15.6" customHeight="1" x14ac:dyDescent="0.25">
      <c r="A36" s="981" t="s">
        <v>732</v>
      </c>
      <c r="B36" s="981"/>
      <c r="C36" s="981"/>
      <c r="D36" s="981"/>
      <c r="E36" s="981"/>
      <c r="F36" s="981"/>
      <c r="G36" s="981"/>
      <c r="H36" s="981"/>
      <c r="I36" s="981"/>
      <c r="J36" s="981"/>
      <c r="K36" s="981"/>
      <c r="L36" s="981"/>
      <c r="M36" s="981"/>
      <c r="N36" s="981"/>
      <c r="O36" s="981"/>
      <c r="P36" s="981"/>
      <c r="Q36" s="981"/>
      <c r="R36" s="981"/>
      <c r="S36" s="981"/>
      <c r="T36" s="981"/>
      <c r="U36" s="981"/>
      <c r="V36" s="981"/>
      <c r="W36" s="981"/>
      <c r="X36" s="981"/>
      <c r="Y36" s="981"/>
      <c r="Z36" s="981"/>
      <c r="AA36" s="981"/>
    </row>
    <row r="37" spans="1:27" x14ac:dyDescent="0.25">
      <c r="A37" s="12"/>
      <c r="B37" s="129"/>
      <c r="E37" s="421"/>
      <c r="F37" s="421"/>
      <c r="G37" s="421"/>
      <c r="H37" s="421"/>
      <c r="I37" s="421"/>
      <c r="J37" s="421"/>
      <c r="K37" s="421"/>
      <c r="L37" s="421"/>
      <c r="M37" s="421"/>
      <c r="N37" s="421"/>
      <c r="O37" s="421"/>
      <c r="P37" s="421"/>
      <c r="Q37" s="421"/>
      <c r="R37" s="421"/>
      <c r="S37" s="421"/>
      <c r="T37" s="421"/>
      <c r="U37" s="421"/>
      <c r="V37" s="421"/>
    </row>
    <row r="38" spans="1:27" x14ac:dyDescent="0.25">
      <c r="D38" s="50"/>
      <c r="E38" s="50"/>
      <c r="F38" s="50"/>
      <c r="G38" s="149"/>
      <c r="H38" s="50"/>
      <c r="U38" s="48"/>
    </row>
    <row r="39" spans="1:27" x14ac:dyDescent="0.25">
      <c r="C39" s="50"/>
      <c r="D39" s="50"/>
      <c r="E39" s="50"/>
      <c r="F39" s="50"/>
      <c r="G39" s="50"/>
      <c r="H39" s="50"/>
      <c r="I39" s="50"/>
      <c r="J39" s="50"/>
      <c r="K39" s="50"/>
      <c r="L39" s="50"/>
      <c r="M39" s="50"/>
      <c r="N39" s="50"/>
      <c r="O39" s="50"/>
      <c r="P39" s="50"/>
      <c r="Q39" s="50"/>
      <c r="R39" s="50"/>
      <c r="S39" s="50"/>
      <c r="T39" s="50"/>
      <c r="U39" s="50"/>
    </row>
  </sheetData>
  <mergeCells count="70">
    <mergeCell ref="A36:AA36"/>
    <mergeCell ref="V18:W18"/>
    <mergeCell ref="X18:Y18"/>
    <mergeCell ref="Z18:AA18"/>
    <mergeCell ref="V26:AA27"/>
    <mergeCell ref="V28:W28"/>
    <mergeCell ref="X28:Y28"/>
    <mergeCell ref="Z28:AA28"/>
    <mergeCell ref="A35:U35"/>
    <mergeCell ref="A34:U34"/>
    <mergeCell ref="G26:H28"/>
    <mergeCell ref="B26:B29"/>
    <mergeCell ref="A25:U25"/>
    <mergeCell ref="I26:J28"/>
    <mergeCell ref="C26:C29"/>
    <mergeCell ref="T26:U28"/>
    <mergeCell ref="V2:AA3"/>
    <mergeCell ref="V4:W4"/>
    <mergeCell ref="X4:Y4"/>
    <mergeCell ref="Z4:AA4"/>
    <mergeCell ref="V16:AA17"/>
    <mergeCell ref="A13:AA13"/>
    <mergeCell ref="P16:P18"/>
    <mergeCell ref="T16:U18"/>
    <mergeCell ref="B16:B19"/>
    <mergeCell ref="K17:M17"/>
    <mergeCell ref="R16:S18"/>
    <mergeCell ref="K4:K5"/>
    <mergeCell ref="L4:M4"/>
    <mergeCell ref="B2:B5"/>
    <mergeCell ref="Q2:Q4"/>
    <mergeCell ref="G2:H4"/>
    <mergeCell ref="R26:S28"/>
    <mergeCell ref="D26:D29"/>
    <mergeCell ref="E26:F28"/>
    <mergeCell ref="A14:U14"/>
    <mergeCell ref="A24:U24"/>
    <mergeCell ref="A26:A29"/>
    <mergeCell ref="K16:O16"/>
    <mergeCell ref="Q16:Q18"/>
    <mergeCell ref="Q26:Q28"/>
    <mergeCell ref="A15:U15"/>
    <mergeCell ref="A16:A19"/>
    <mergeCell ref="C16:C19"/>
    <mergeCell ref="D16:D19"/>
    <mergeCell ref="E16:F18"/>
    <mergeCell ref="I16:J18"/>
    <mergeCell ref="K27:M27"/>
    <mergeCell ref="G16:H18"/>
    <mergeCell ref="L28:M28"/>
    <mergeCell ref="N17:O18"/>
    <mergeCell ref="K18:K19"/>
    <mergeCell ref="L18:M18"/>
    <mergeCell ref="K26:O26"/>
    <mergeCell ref="Q31:Q32"/>
    <mergeCell ref="A1:U1"/>
    <mergeCell ref="A2:A5"/>
    <mergeCell ref="C2:C5"/>
    <mergeCell ref="D2:D5"/>
    <mergeCell ref="E2:F4"/>
    <mergeCell ref="I2:J4"/>
    <mergeCell ref="K2:O2"/>
    <mergeCell ref="P2:P4"/>
    <mergeCell ref="R2:S4"/>
    <mergeCell ref="T2:U4"/>
    <mergeCell ref="K3:M3"/>
    <mergeCell ref="N3:O4"/>
    <mergeCell ref="P26:P28"/>
    <mergeCell ref="N27:O28"/>
    <mergeCell ref="K28:K29"/>
  </mergeCells>
  <pageMargins left="0.39370078740157483" right="0.39370078740157483" top="0.39370078740157483" bottom="0.39370078740157483" header="0.31496062992125984" footer="0.31496062992125984"/>
  <pageSetup paperSize="9" scale="6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B24"/>
  <sheetViews>
    <sheetView view="pageBreakPreview" topLeftCell="A10" zoomScaleNormal="100" zoomScaleSheetLayoutView="100" workbookViewId="0">
      <selection activeCell="Q18" sqref="Q18"/>
    </sheetView>
  </sheetViews>
  <sheetFormatPr defaultColWidth="8.7109375" defaultRowHeight="11.25" x14ac:dyDescent="0.2"/>
  <cols>
    <col min="1" max="1" width="8.7109375" style="12"/>
    <col min="2" max="2" width="8.28515625" style="12" customWidth="1"/>
    <col min="3" max="4" width="8.7109375" style="12"/>
    <col min="5" max="5" width="4.7109375" style="12" bestFit="1" customWidth="1"/>
    <col min="6" max="6" width="9.5703125" style="12" customWidth="1"/>
    <col min="7" max="7" width="3.28515625" style="12" bestFit="1" customWidth="1"/>
    <col min="8" max="8" width="7.42578125" style="12" bestFit="1" customWidth="1"/>
    <col min="9" max="9" width="4.7109375" style="12" bestFit="1" customWidth="1"/>
    <col min="10" max="10" width="9.42578125" style="12" customWidth="1"/>
    <col min="11" max="12" width="3.28515625" style="12" bestFit="1" customWidth="1"/>
    <col min="13" max="13" width="10" style="12" bestFit="1" customWidth="1"/>
    <col min="14" max="14" width="3.5703125" style="12" customWidth="1"/>
    <col min="15" max="16" width="8.85546875" style="12" bestFit="1" customWidth="1"/>
    <col min="17" max="17" width="8.85546875" style="12" customWidth="1"/>
    <col min="18" max="18" width="3.28515625" style="12" bestFit="1" customWidth="1"/>
    <col min="19" max="19" width="9.28515625" style="12" customWidth="1"/>
    <col min="20" max="20" width="4.7109375" style="12" bestFit="1" customWidth="1"/>
    <col min="21" max="21" width="9.42578125" style="12" customWidth="1"/>
    <col min="22" max="22" width="3.140625" style="12" bestFit="1" customWidth="1"/>
    <col min="23" max="23" width="11" style="12" customWidth="1"/>
    <col min="24" max="24" width="3.140625" style="12" bestFit="1" customWidth="1"/>
    <col min="25" max="25" width="9.5703125" style="12" customWidth="1"/>
    <col min="26" max="26" width="3.140625" style="12" bestFit="1" customWidth="1"/>
    <col min="27" max="27" width="9.5703125" style="12" bestFit="1" customWidth="1"/>
    <col min="28" max="16384" width="8.7109375" style="12"/>
  </cols>
  <sheetData>
    <row r="1" spans="1:28" ht="15" customHeight="1" x14ac:dyDescent="0.2">
      <c r="A1" s="1004" t="s">
        <v>183</v>
      </c>
      <c r="B1" s="1004"/>
      <c r="C1" s="1004"/>
      <c r="D1" s="1004"/>
      <c r="E1" s="1004"/>
      <c r="F1" s="1004"/>
      <c r="G1" s="1004"/>
      <c r="H1" s="1004"/>
      <c r="I1" s="1004"/>
      <c r="J1" s="1004"/>
      <c r="K1" s="1004"/>
      <c r="L1" s="1004"/>
      <c r="M1" s="1004"/>
      <c r="N1" s="1004"/>
      <c r="O1" s="1004"/>
      <c r="P1" s="1004"/>
      <c r="Q1" s="1004"/>
      <c r="R1" s="1004"/>
      <c r="S1" s="1004"/>
      <c r="T1" s="1004"/>
      <c r="U1" s="1004"/>
    </row>
    <row r="2" spans="1:28"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8"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8"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8"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8" s="96" customFormat="1" ht="78.75" x14ac:dyDescent="0.2">
      <c r="A6" s="3" t="s">
        <v>184</v>
      </c>
      <c r="B6" s="315">
        <v>22122</v>
      </c>
      <c r="C6" s="32">
        <v>1400000</v>
      </c>
      <c r="D6" s="31">
        <v>43648</v>
      </c>
      <c r="E6" s="25">
        <v>3</v>
      </c>
      <c r="F6" s="316">
        <v>588551.51</v>
      </c>
      <c r="G6" s="58">
        <v>0</v>
      </c>
      <c r="H6" s="58">
        <v>0</v>
      </c>
      <c r="I6" s="222">
        <v>2</v>
      </c>
      <c r="J6" s="222">
        <v>286523.71000000002</v>
      </c>
      <c r="K6" s="222">
        <v>2</v>
      </c>
      <c r="L6" s="222">
        <v>2</v>
      </c>
      <c r="M6" s="222">
        <v>286523.71000000002</v>
      </c>
      <c r="N6" s="222">
        <v>1</v>
      </c>
      <c r="O6" s="222">
        <v>188551.52</v>
      </c>
      <c r="P6" s="18">
        <v>0</v>
      </c>
      <c r="Q6" s="964">
        <f>3000000-M8</f>
        <v>1035050.1699999999</v>
      </c>
      <c r="R6" s="3">
        <v>3</v>
      </c>
      <c r="S6" s="71">
        <v>268313.57</v>
      </c>
      <c r="T6" s="58">
        <v>3</v>
      </c>
      <c r="U6" s="82">
        <v>266155.84999999998</v>
      </c>
      <c r="V6" s="195">
        <v>0</v>
      </c>
      <c r="W6" s="195">
        <v>0</v>
      </c>
      <c r="X6" s="195">
        <v>0</v>
      </c>
      <c r="Y6" s="195">
        <v>0</v>
      </c>
      <c r="Z6" s="360">
        <v>2</v>
      </c>
      <c r="AA6" s="82">
        <v>266155.84999999998</v>
      </c>
    </row>
    <row r="7" spans="1:28" s="96" customFormat="1" ht="67.5" x14ac:dyDescent="0.2">
      <c r="A7" s="3" t="s">
        <v>86</v>
      </c>
      <c r="B7" s="162">
        <v>39502</v>
      </c>
      <c r="C7" s="165">
        <v>2411000</v>
      </c>
      <c r="D7" s="2">
        <v>44043</v>
      </c>
      <c r="E7" s="25">
        <v>91</v>
      </c>
      <c r="F7" s="316">
        <v>2080380.81</v>
      </c>
      <c r="G7" s="58">
        <v>1</v>
      </c>
      <c r="H7" s="316">
        <v>24016.949999999488</v>
      </c>
      <c r="I7" s="222">
        <v>77</v>
      </c>
      <c r="J7" s="222">
        <v>1678426.12</v>
      </c>
      <c r="K7" s="222">
        <v>77</v>
      </c>
      <c r="L7" s="222">
        <v>77</v>
      </c>
      <c r="M7" s="222">
        <v>1678426.12</v>
      </c>
      <c r="N7" s="222">
        <v>13</v>
      </c>
      <c r="O7" s="222">
        <v>311813.08</v>
      </c>
      <c r="P7" s="18">
        <v>0</v>
      </c>
      <c r="Q7" s="965"/>
      <c r="R7" s="3">
        <v>81</v>
      </c>
      <c r="S7" s="71">
        <v>1236675.6100000008</v>
      </c>
      <c r="T7" s="58">
        <v>76</v>
      </c>
      <c r="U7" s="82">
        <v>1165342.2799999998</v>
      </c>
      <c r="V7" s="360">
        <v>3</v>
      </c>
      <c r="W7" s="82">
        <v>35847.61</v>
      </c>
      <c r="X7" s="195"/>
      <c r="Y7" s="195"/>
      <c r="Z7" s="360">
        <v>53</v>
      </c>
      <c r="AA7" s="82">
        <v>1129494.6700000002</v>
      </c>
    </row>
    <row r="8" spans="1:28" x14ac:dyDescent="0.2">
      <c r="A8" s="19" t="s">
        <v>185</v>
      </c>
      <c r="B8" s="60"/>
      <c r="C8" s="20">
        <f>SUM(C6:C7)</f>
        <v>3811000</v>
      </c>
      <c r="D8" s="20"/>
      <c r="E8" s="20">
        <f t="shared" ref="E8:AA8" si="0">SUM(E6:E7)</f>
        <v>94</v>
      </c>
      <c r="F8" s="20">
        <f t="shared" si="0"/>
        <v>2668932.3200000003</v>
      </c>
      <c r="G8" s="20">
        <f t="shared" si="0"/>
        <v>1</v>
      </c>
      <c r="H8" s="20">
        <f t="shared" si="0"/>
        <v>24016.949999999488</v>
      </c>
      <c r="I8" s="20">
        <f t="shared" si="0"/>
        <v>79</v>
      </c>
      <c r="J8" s="20">
        <f t="shared" si="0"/>
        <v>1964949.83</v>
      </c>
      <c r="K8" s="20">
        <f t="shared" si="0"/>
        <v>79</v>
      </c>
      <c r="L8" s="20">
        <f t="shared" si="0"/>
        <v>79</v>
      </c>
      <c r="M8" s="20">
        <f t="shared" si="0"/>
        <v>1964949.83</v>
      </c>
      <c r="N8" s="20">
        <f t="shared" si="0"/>
        <v>14</v>
      </c>
      <c r="O8" s="20">
        <f t="shared" si="0"/>
        <v>500364.6</v>
      </c>
      <c r="P8" s="20">
        <f>SUM(P6:P7)</f>
        <v>0</v>
      </c>
      <c r="Q8" s="20">
        <f>SUM(Q6:Q7)</f>
        <v>1035050.1699999999</v>
      </c>
      <c r="R8" s="20">
        <f t="shared" si="0"/>
        <v>84</v>
      </c>
      <c r="S8" s="20">
        <f>SUM(S6:S7)</f>
        <v>1504989.1800000009</v>
      </c>
      <c r="T8" s="61">
        <f t="shared" si="0"/>
        <v>79</v>
      </c>
      <c r="U8" s="61">
        <f>SUM(U6:U7)-15218.6</f>
        <v>1416279.5299999998</v>
      </c>
      <c r="V8" s="61">
        <f t="shared" si="0"/>
        <v>3</v>
      </c>
      <c r="W8" s="61">
        <f>SUM(W6:W7)-15218.6</f>
        <v>20629.010000000002</v>
      </c>
      <c r="X8" s="61">
        <f t="shared" si="0"/>
        <v>0</v>
      </c>
      <c r="Y8" s="61">
        <f t="shared" si="0"/>
        <v>0</v>
      </c>
      <c r="Z8" s="61">
        <f t="shared" si="0"/>
        <v>55</v>
      </c>
      <c r="AA8" s="61">
        <f t="shared" si="0"/>
        <v>1395650.52</v>
      </c>
    </row>
    <row r="9" spans="1:28" x14ac:dyDescent="0.2">
      <c r="A9" s="1005" t="s">
        <v>391</v>
      </c>
      <c r="B9" s="1005"/>
      <c r="C9" s="1005"/>
      <c r="D9" s="1005"/>
      <c r="E9" s="1005"/>
      <c r="F9" s="1005"/>
      <c r="G9" s="1005"/>
      <c r="H9" s="1005"/>
      <c r="I9" s="1005"/>
      <c r="J9" s="1005"/>
      <c r="K9" s="1005"/>
    </row>
    <row r="11" spans="1:28" ht="13.15" customHeight="1" x14ac:dyDescent="0.2">
      <c r="A11" s="1004" t="s">
        <v>186</v>
      </c>
      <c r="B11" s="1004"/>
      <c r="C11" s="1004"/>
      <c r="D11" s="1004"/>
      <c r="E11" s="1004"/>
      <c r="F11" s="1004"/>
      <c r="G11" s="1004"/>
      <c r="H11" s="1004"/>
      <c r="I11" s="1004"/>
      <c r="J11" s="1004"/>
      <c r="K11" s="1004"/>
      <c r="L11" s="1004"/>
      <c r="M11" s="1004"/>
      <c r="N11" s="1004"/>
      <c r="O11" s="1004"/>
      <c r="P11" s="1004"/>
      <c r="Q11" s="1004"/>
      <c r="R11" s="1004"/>
      <c r="S11" s="1004"/>
      <c r="T11" s="1004"/>
      <c r="U11" s="1004"/>
    </row>
    <row r="12" spans="1:28" ht="28.9" customHeight="1" x14ac:dyDescent="0.2">
      <c r="A12" s="966" t="s">
        <v>156</v>
      </c>
      <c r="B12" s="966" t="s">
        <v>282</v>
      </c>
      <c r="C12" s="966" t="s">
        <v>157</v>
      </c>
      <c r="D12" s="966" t="s">
        <v>158</v>
      </c>
      <c r="E12" s="969" t="s">
        <v>337</v>
      </c>
      <c r="F12" s="970"/>
      <c r="G12" s="969" t="s">
        <v>277</v>
      </c>
      <c r="H12" s="970"/>
      <c r="I12" s="969" t="s">
        <v>159</v>
      </c>
      <c r="J12" s="970"/>
      <c r="K12" s="976" t="s">
        <v>717</v>
      </c>
      <c r="L12" s="977"/>
      <c r="M12" s="977"/>
      <c r="N12" s="977"/>
      <c r="O12" s="978"/>
      <c r="P12" s="966" t="s">
        <v>250</v>
      </c>
      <c r="Q12" s="966" t="s">
        <v>630</v>
      </c>
      <c r="R12" s="969" t="s">
        <v>718</v>
      </c>
      <c r="S12" s="970"/>
      <c r="T12" s="969" t="s">
        <v>719</v>
      </c>
      <c r="U12" s="970"/>
      <c r="V12" s="982" t="s">
        <v>719</v>
      </c>
      <c r="W12" s="982"/>
      <c r="X12" s="982"/>
      <c r="Y12" s="982"/>
      <c r="Z12" s="982"/>
      <c r="AA12" s="982"/>
    </row>
    <row r="13" spans="1:28" ht="14.45" customHeight="1" x14ac:dyDescent="0.2">
      <c r="A13" s="967"/>
      <c r="B13" s="967"/>
      <c r="C13" s="967"/>
      <c r="D13" s="967"/>
      <c r="E13" s="971"/>
      <c r="F13" s="972"/>
      <c r="G13" s="971"/>
      <c r="H13" s="972"/>
      <c r="I13" s="971"/>
      <c r="J13" s="972"/>
      <c r="K13" s="976" t="s">
        <v>160</v>
      </c>
      <c r="L13" s="977"/>
      <c r="M13" s="978"/>
      <c r="N13" s="969" t="s">
        <v>631</v>
      </c>
      <c r="O13" s="970"/>
      <c r="P13" s="967"/>
      <c r="Q13" s="967"/>
      <c r="R13" s="971"/>
      <c r="S13" s="972"/>
      <c r="T13" s="971"/>
      <c r="U13" s="972"/>
      <c r="V13" s="982"/>
      <c r="W13" s="982"/>
      <c r="X13" s="982"/>
      <c r="Y13" s="982"/>
      <c r="Z13" s="982"/>
      <c r="AA13" s="982"/>
    </row>
    <row r="14" spans="1:28" ht="20.25" customHeight="1" x14ac:dyDescent="0.2">
      <c r="A14" s="967"/>
      <c r="B14" s="967"/>
      <c r="C14" s="967"/>
      <c r="D14" s="967"/>
      <c r="E14" s="973"/>
      <c r="F14" s="974"/>
      <c r="G14" s="973"/>
      <c r="H14" s="974"/>
      <c r="I14" s="973"/>
      <c r="J14" s="974"/>
      <c r="K14" s="979" t="s">
        <v>161</v>
      </c>
      <c r="L14" s="976" t="s">
        <v>247</v>
      </c>
      <c r="M14" s="978"/>
      <c r="N14" s="973"/>
      <c r="O14" s="974"/>
      <c r="P14" s="975"/>
      <c r="Q14" s="975"/>
      <c r="R14" s="973"/>
      <c r="S14" s="974"/>
      <c r="T14" s="973"/>
      <c r="U14" s="974"/>
      <c r="V14" s="982" t="s">
        <v>587</v>
      </c>
      <c r="W14" s="982"/>
      <c r="X14" s="982" t="s">
        <v>588</v>
      </c>
      <c r="Y14" s="982"/>
      <c r="Z14" s="982" t="s">
        <v>589</v>
      </c>
      <c r="AA14" s="982"/>
    </row>
    <row r="15" spans="1:28" ht="21" x14ac:dyDescent="0.2">
      <c r="A15" s="968"/>
      <c r="B15" s="968"/>
      <c r="C15" s="968"/>
      <c r="D15" s="968"/>
      <c r="E15" s="160" t="s">
        <v>161</v>
      </c>
      <c r="F15" s="130" t="s">
        <v>162</v>
      </c>
      <c r="G15" s="15" t="s">
        <v>161</v>
      </c>
      <c r="H15" s="16" t="s">
        <v>162</v>
      </c>
      <c r="I15" s="160" t="s">
        <v>161</v>
      </c>
      <c r="J15" s="130" t="s">
        <v>162</v>
      </c>
      <c r="K15" s="980"/>
      <c r="L15" s="160" t="s">
        <v>161</v>
      </c>
      <c r="M15" s="130" t="s">
        <v>162</v>
      </c>
      <c r="N15" s="160" t="s">
        <v>161</v>
      </c>
      <c r="O15" s="130" t="s">
        <v>162</v>
      </c>
      <c r="P15" s="16" t="s">
        <v>162</v>
      </c>
      <c r="Q15" s="16" t="s">
        <v>162</v>
      </c>
      <c r="R15" s="15" t="s">
        <v>161</v>
      </c>
      <c r="S15" s="16" t="s">
        <v>162</v>
      </c>
      <c r="T15" s="78" t="s">
        <v>161</v>
      </c>
      <c r="U15" s="79" t="s">
        <v>162</v>
      </c>
      <c r="V15" s="227" t="s">
        <v>161</v>
      </c>
      <c r="W15" s="218" t="s">
        <v>162</v>
      </c>
      <c r="X15" s="227" t="s">
        <v>161</v>
      </c>
      <c r="Y15" s="218" t="s">
        <v>162</v>
      </c>
      <c r="Z15" s="227" t="s">
        <v>161</v>
      </c>
      <c r="AA15" s="218" t="s">
        <v>162</v>
      </c>
    </row>
    <row r="16" spans="1:28" s="96" customFormat="1" ht="56.25" x14ac:dyDescent="0.2">
      <c r="A16" s="3" t="s">
        <v>87</v>
      </c>
      <c r="B16" s="274">
        <v>8021</v>
      </c>
      <c r="C16" s="98">
        <v>2500000</v>
      </c>
      <c r="D16" s="31">
        <v>43111</v>
      </c>
      <c r="E16" s="1">
        <v>59</v>
      </c>
      <c r="F16" s="275">
        <v>3590581.1300000013</v>
      </c>
      <c r="G16" s="217">
        <v>1</v>
      </c>
      <c r="H16" s="217">
        <v>47122.83</v>
      </c>
      <c r="I16" s="1">
        <v>29</v>
      </c>
      <c r="J16" s="275">
        <v>1531924.24</v>
      </c>
      <c r="K16" s="296">
        <f>36-7</f>
        <v>29</v>
      </c>
      <c r="L16" s="296">
        <f>36-7</f>
        <v>29</v>
      </c>
      <c r="M16" s="72">
        <v>1531924.24</v>
      </c>
      <c r="N16" s="296">
        <f>23+7</f>
        <v>30</v>
      </c>
      <c r="O16" s="82">
        <f>826504.09+173020</f>
        <v>999524.09</v>
      </c>
      <c r="P16" s="59">
        <v>0</v>
      </c>
      <c r="Q16" s="59">
        <f>C16-M16</f>
        <v>968075.76</v>
      </c>
      <c r="R16" s="222">
        <v>39</v>
      </c>
      <c r="S16" s="222">
        <v>1452006.3900000001</v>
      </c>
      <c r="T16" s="58">
        <v>39</v>
      </c>
      <c r="U16" s="82">
        <v>1423592.34</v>
      </c>
      <c r="V16" s="360">
        <v>1</v>
      </c>
      <c r="W16" s="82">
        <v>23561.41</v>
      </c>
      <c r="X16" s="195">
        <v>0</v>
      </c>
      <c r="Y16" s="195">
        <v>0</v>
      </c>
      <c r="Z16" s="360">
        <v>27</v>
      </c>
      <c r="AA16" s="82">
        <v>1400030.9300000002</v>
      </c>
      <c r="AB16" s="273"/>
    </row>
    <row r="17" spans="1:28" s="96" customFormat="1" ht="61.9" customHeight="1" x14ac:dyDescent="0.2">
      <c r="A17" s="58" t="s">
        <v>381</v>
      </c>
      <c r="B17" s="274">
        <v>58265</v>
      </c>
      <c r="C17" s="165">
        <v>4250000</v>
      </c>
      <c r="D17" s="31">
        <v>44592</v>
      </c>
      <c r="E17" s="195">
        <v>77</v>
      </c>
      <c r="F17" s="275">
        <v>5956515.4299999997</v>
      </c>
      <c r="G17" s="195">
        <v>0</v>
      </c>
      <c r="H17" s="195">
        <v>0</v>
      </c>
      <c r="I17" s="195">
        <f>E17-N17</f>
        <v>58</v>
      </c>
      <c r="J17" s="165">
        <f>F17-O17</f>
        <v>4909210.18</v>
      </c>
      <c r="K17" s="296">
        <f>57-1</f>
        <v>56</v>
      </c>
      <c r="L17" s="296">
        <f>57-1</f>
        <v>56</v>
      </c>
      <c r="M17" s="72">
        <f>3876105.5-81875</f>
        <v>3794230.5</v>
      </c>
      <c r="N17" s="195">
        <f>18+1</f>
        <v>19</v>
      </c>
      <c r="O17" s="82">
        <f>965430.25+81875</f>
        <v>1047305.25</v>
      </c>
      <c r="P17" s="59">
        <f>J17-M17</f>
        <v>1114979.6799999997</v>
      </c>
      <c r="Q17" s="59">
        <f>C17-J17</f>
        <v>-659210.1799999997</v>
      </c>
      <c r="R17" s="3">
        <v>42</v>
      </c>
      <c r="S17" s="71">
        <v>1974276.85</v>
      </c>
      <c r="T17" s="58">
        <v>32</v>
      </c>
      <c r="U17" s="57">
        <v>1600057.41</v>
      </c>
      <c r="V17" s="360">
        <v>10</v>
      </c>
      <c r="W17" s="82">
        <v>481788.7</v>
      </c>
      <c r="X17" s="195">
        <v>0</v>
      </c>
      <c r="Y17" s="195">
        <v>0</v>
      </c>
      <c r="Z17" s="360">
        <v>17</v>
      </c>
      <c r="AA17" s="82">
        <v>1118268.7100000002</v>
      </c>
      <c r="AB17" s="339"/>
    </row>
    <row r="18" spans="1:28" s="96" customFormat="1" ht="78.75" x14ac:dyDescent="0.2">
      <c r="A18" s="58" t="s">
        <v>600</v>
      </c>
      <c r="B18" s="379">
        <v>78342</v>
      </c>
      <c r="C18" s="376">
        <v>5000000</v>
      </c>
      <c r="D18" s="31">
        <v>45397</v>
      </c>
      <c r="E18" s="195">
        <v>575</v>
      </c>
      <c r="F18" s="275">
        <v>48699214.109999999</v>
      </c>
      <c r="G18" s="195">
        <v>0</v>
      </c>
      <c r="H18" s="195">
        <v>0</v>
      </c>
      <c r="I18" s="195">
        <v>63</v>
      </c>
      <c r="J18" s="376">
        <v>5046908.26</v>
      </c>
      <c r="K18" s="195">
        <v>30</v>
      </c>
      <c r="L18" s="195">
        <v>30</v>
      </c>
      <c r="M18" s="72">
        <v>1389190.6900000002</v>
      </c>
      <c r="N18" s="195">
        <v>6</v>
      </c>
      <c r="O18" s="82">
        <v>555646.85000000009</v>
      </c>
      <c r="P18" s="59">
        <f>J18-M18</f>
        <v>3657717.5699999994</v>
      </c>
      <c r="Q18" s="59">
        <v>0</v>
      </c>
      <c r="R18" s="195">
        <v>10</v>
      </c>
      <c r="S18" s="71">
        <v>306858.14</v>
      </c>
      <c r="T18" s="195">
        <v>6</v>
      </c>
      <c r="U18" s="82">
        <v>223850.35</v>
      </c>
      <c r="V18" s="195">
        <v>6</v>
      </c>
      <c r="W18" s="82">
        <v>223850.35</v>
      </c>
      <c r="X18" s="195">
        <v>0</v>
      </c>
      <c r="Y18" s="195">
        <v>0</v>
      </c>
      <c r="Z18" s="195">
        <v>0</v>
      </c>
      <c r="AA18" s="195">
        <v>0</v>
      </c>
    </row>
    <row r="19" spans="1:28" x14ac:dyDescent="0.2">
      <c r="A19" s="19" t="s">
        <v>187</v>
      </c>
      <c r="B19" s="60"/>
      <c r="C19" s="20">
        <f>SUM(C16:C18)</f>
        <v>11750000</v>
      </c>
      <c r="D19" s="20"/>
      <c r="E19" s="20">
        <f t="shared" ref="E19:Z19" si="1">SUM(E16:E18)</f>
        <v>711</v>
      </c>
      <c r="F19" s="20">
        <f t="shared" si="1"/>
        <v>58246310.670000002</v>
      </c>
      <c r="G19" s="20">
        <f t="shared" si="1"/>
        <v>1</v>
      </c>
      <c r="H19" s="20">
        <f t="shared" si="1"/>
        <v>47122.83</v>
      </c>
      <c r="I19" s="20">
        <f t="shared" si="1"/>
        <v>150</v>
      </c>
      <c r="J19" s="20">
        <f t="shared" si="1"/>
        <v>11488042.68</v>
      </c>
      <c r="K19" s="20">
        <f t="shared" si="1"/>
        <v>115</v>
      </c>
      <c r="L19" s="20">
        <f t="shared" si="1"/>
        <v>115</v>
      </c>
      <c r="M19" s="20">
        <f t="shared" si="1"/>
        <v>6715345.4300000006</v>
      </c>
      <c r="N19" s="20">
        <f t="shared" si="1"/>
        <v>55</v>
      </c>
      <c r="O19" s="20">
        <f t="shared" si="1"/>
        <v>2602476.19</v>
      </c>
      <c r="P19" s="20">
        <f t="shared" si="1"/>
        <v>4772697.2499999991</v>
      </c>
      <c r="Q19" s="20">
        <f t="shared" si="1"/>
        <v>308865.58000000031</v>
      </c>
      <c r="R19" s="20">
        <f t="shared" si="1"/>
        <v>91</v>
      </c>
      <c r="S19" s="20">
        <f t="shared" si="1"/>
        <v>3733141.3800000004</v>
      </c>
      <c r="T19" s="20">
        <f t="shared" si="1"/>
        <v>77</v>
      </c>
      <c r="U19" s="20">
        <f>SUM(U16:U18)-47530.94</f>
        <v>3199969.16</v>
      </c>
      <c r="V19" s="20">
        <f t="shared" si="1"/>
        <v>17</v>
      </c>
      <c r="W19" s="20">
        <f>SUM(W16:W18)-47530.94</f>
        <v>681669.52</v>
      </c>
      <c r="X19" s="20">
        <f t="shared" si="1"/>
        <v>0</v>
      </c>
      <c r="Y19" s="20">
        <f t="shared" si="1"/>
        <v>0</v>
      </c>
      <c r="Z19" s="20">
        <f t="shared" si="1"/>
        <v>44</v>
      </c>
      <c r="AA19" s="20">
        <f>SUM(AA16:AA18)</f>
        <v>2518299.6400000006</v>
      </c>
    </row>
    <row r="20" spans="1:28" customFormat="1" ht="15" customHeight="1" x14ac:dyDescent="0.25">
      <c r="A20" s="161" t="s">
        <v>390</v>
      </c>
      <c r="B20" s="140"/>
      <c r="C20" s="140"/>
      <c r="D20" s="140"/>
      <c r="E20" s="140"/>
      <c r="F20" s="140"/>
      <c r="G20" s="140"/>
      <c r="H20" s="140"/>
      <c r="I20" s="140"/>
      <c r="J20" s="140"/>
      <c r="K20" s="140"/>
      <c r="L20" s="140"/>
      <c r="M20" s="140"/>
      <c r="N20" s="140"/>
      <c r="O20" s="140"/>
      <c r="P20" s="140"/>
      <c r="Q20" s="140"/>
      <c r="R20" s="140"/>
      <c r="S20" s="140"/>
    </row>
    <row r="21" spans="1:28" s="23" customFormat="1" ht="14.45" customHeight="1" x14ac:dyDescent="0.25">
      <c r="A21" s="981" t="s">
        <v>732</v>
      </c>
      <c r="B21" s="981"/>
      <c r="C21" s="981"/>
      <c r="D21" s="981"/>
      <c r="E21" s="981"/>
      <c r="F21" s="981"/>
      <c r="G21" s="981"/>
      <c r="H21" s="981"/>
      <c r="I21" s="981"/>
      <c r="J21" s="981"/>
      <c r="K21" s="981"/>
      <c r="L21" s="981"/>
      <c r="M21" s="981"/>
      <c r="N21" s="981"/>
      <c r="O21" s="981"/>
      <c r="P21" s="981"/>
      <c r="Q21" s="981"/>
      <c r="R21" s="981"/>
      <c r="S21" s="981"/>
      <c r="T21" s="981"/>
      <c r="U21" s="981"/>
      <c r="V21" s="981"/>
      <c r="W21" s="981"/>
      <c r="X21" s="981"/>
      <c r="Y21" s="981"/>
      <c r="Z21" s="981"/>
      <c r="AA21" s="981"/>
    </row>
    <row r="22" spans="1:28" ht="6.75" customHeight="1" x14ac:dyDescent="0.2"/>
    <row r="24" spans="1:28" x14ac:dyDescent="0.2">
      <c r="E24" s="158"/>
      <c r="I24" s="158"/>
    </row>
  </sheetData>
  <mergeCells count="45">
    <mergeCell ref="A21:AA21"/>
    <mergeCell ref="V14:W14"/>
    <mergeCell ref="X14:Y14"/>
    <mergeCell ref="Z14:AA14"/>
    <mergeCell ref="V2:AA3"/>
    <mergeCell ref="V4:W4"/>
    <mergeCell ref="X4:Y4"/>
    <mergeCell ref="Z4:AA4"/>
    <mergeCell ref="V12:AA13"/>
    <mergeCell ref="A9:K9"/>
    <mergeCell ref="K14:K15"/>
    <mergeCell ref="L14:M14"/>
    <mergeCell ref="B2:B5"/>
    <mergeCell ref="K2:O2"/>
    <mergeCell ref="P2:P4"/>
    <mergeCell ref="P12:P14"/>
    <mergeCell ref="A11:U11"/>
    <mergeCell ref="R12:S14"/>
    <mergeCell ref="T12:U14"/>
    <mergeCell ref="K13:M13"/>
    <mergeCell ref="N13:O14"/>
    <mergeCell ref="Q12:Q14"/>
    <mergeCell ref="K12:O12"/>
    <mergeCell ref="A12:A15"/>
    <mergeCell ref="I12:J14"/>
    <mergeCell ref="B12:B15"/>
    <mergeCell ref="C12:C15"/>
    <mergeCell ref="D12:D15"/>
    <mergeCell ref="G12:H14"/>
    <mergeCell ref="E12:F14"/>
    <mergeCell ref="Q6:Q7"/>
    <mergeCell ref="A1:U1"/>
    <mergeCell ref="A2:A5"/>
    <mergeCell ref="C2:C5"/>
    <mergeCell ref="D2:D5"/>
    <mergeCell ref="E2:F4"/>
    <mergeCell ref="I2:J4"/>
    <mergeCell ref="R2:S4"/>
    <mergeCell ref="T2:U4"/>
    <mergeCell ref="K3:M3"/>
    <mergeCell ref="N3:O4"/>
    <mergeCell ref="K4:K5"/>
    <mergeCell ref="L4:M4"/>
    <mergeCell ref="Q2:Q4"/>
    <mergeCell ref="G2:H4"/>
  </mergeCells>
  <pageMargins left="0.51181102362204722" right="0.51181102362204722" top="0.74803149606299213" bottom="0.74803149606299213" header="0.31496062992125984" footer="0.31496062992125984"/>
  <pageSetup paperSize="9" scale="7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33"/>
  <sheetViews>
    <sheetView view="pageBreakPreview" topLeftCell="A10" zoomScaleNormal="100" zoomScaleSheetLayoutView="100" workbookViewId="0">
      <selection activeCell="Q26" sqref="Q26"/>
    </sheetView>
  </sheetViews>
  <sheetFormatPr defaultColWidth="8.7109375" defaultRowHeight="15" x14ac:dyDescent="0.25"/>
  <cols>
    <col min="1" max="1" width="11.140625" customWidth="1"/>
    <col min="2" max="2" width="6.28515625" customWidth="1"/>
    <col min="3" max="3" width="9.5703125" customWidth="1"/>
    <col min="5" max="5" width="4.85546875" bestFit="1" customWidth="1"/>
    <col min="6" max="6" width="10" customWidth="1"/>
    <col min="7" max="7" width="3.140625" bestFit="1" customWidth="1"/>
    <col min="8" max="8" width="7.28515625" customWidth="1"/>
    <col min="9" max="9" width="4.140625" customWidth="1"/>
    <col min="10" max="10" width="9.28515625" customWidth="1"/>
    <col min="11" max="12" width="4.85546875" bestFit="1" customWidth="1"/>
    <col min="13" max="13" width="10.42578125" bestFit="1" customWidth="1"/>
    <col min="14" max="14" width="3.7109375" bestFit="1" customWidth="1"/>
    <col min="16" max="16" width="10.140625" customWidth="1"/>
    <col min="17" max="17" width="10" customWidth="1"/>
    <col min="18" max="18" width="4.28515625" customWidth="1"/>
    <col min="19" max="19" width="9.85546875" customWidth="1"/>
    <col min="20" max="20" width="4.7109375" bestFit="1" customWidth="1"/>
    <col min="21" max="21" width="11.140625" bestFit="1" customWidth="1"/>
    <col min="22" max="22" width="4.85546875" customWidth="1"/>
    <col min="23" max="23" width="8.28515625" customWidth="1"/>
    <col min="24" max="24" width="5.140625" customWidth="1"/>
    <col min="25" max="25" width="11.140625" customWidth="1"/>
    <col min="26" max="26" width="5.28515625" customWidth="1"/>
    <col min="27" max="27" width="11.5703125" customWidth="1"/>
    <col min="29" max="29" width="10" bestFit="1" customWidth="1"/>
  </cols>
  <sheetData>
    <row r="1" spans="1:29" x14ac:dyDescent="0.25">
      <c r="A1" s="14" t="s">
        <v>188</v>
      </c>
      <c r="B1" s="14"/>
    </row>
    <row r="2" spans="1:29"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9"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9"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9"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9" s="23" customFormat="1" ht="27" customHeight="1" x14ac:dyDescent="0.25">
      <c r="A6" s="3" t="s">
        <v>189</v>
      </c>
      <c r="B6" s="3">
        <v>1931</v>
      </c>
      <c r="C6" s="32">
        <v>48580000</v>
      </c>
      <c r="D6" s="31">
        <v>42839</v>
      </c>
      <c r="E6" s="25">
        <v>1599</v>
      </c>
      <c r="F6" s="165">
        <v>56020000</v>
      </c>
      <c r="G6" s="165">
        <v>44</v>
      </c>
      <c r="H6" s="165">
        <v>1595000</v>
      </c>
      <c r="I6" s="317">
        <v>1289</v>
      </c>
      <c r="J6" s="11">
        <v>45115000</v>
      </c>
      <c r="K6" s="330">
        <v>1251</v>
      </c>
      <c r="L6" s="377">
        <v>1249</v>
      </c>
      <c r="M6" s="331">
        <v>43715000</v>
      </c>
      <c r="N6" s="332">
        <v>292</v>
      </c>
      <c r="O6" s="333">
        <v>10220000</v>
      </c>
      <c r="P6" s="235">
        <f>J6-M6</f>
        <v>1400000</v>
      </c>
      <c r="Q6" s="59">
        <f>C6-J6</f>
        <v>3465000</v>
      </c>
      <c r="R6" s="317">
        <v>2205</v>
      </c>
      <c r="S6" s="11">
        <v>40281500</v>
      </c>
      <c r="T6" s="395">
        <v>2113</v>
      </c>
      <c r="U6" s="378">
        <v>39014500</v>
      </c>
      <c r="V6" s="362">
        <v>0</v>
      </c>
      <c r="W6" s="362">
        <v>0</v>
      </c>
      <c r="X6" s="362">
        <v>287</v>
      </c>
      <c r="Y6" s="362">
        <v>7031500</v>
      </c>
      <c r="Z6" s="362">
        <v>911</v>
      </c>
      <c r="AA6" s="362">
        <v>31983000</v>
      </c>
      <c r="AB6" s="533"/>
      <c r="AC6" s="12"/>
    </row>
    <row r="7" spans="1:29" s="23" customFormat="1" ht="20.45" customHeight="1" x14ac:dyDescent="0.25">
      <c r="A7" s="144" t="s">
        <v>89</v>
      </c>
      <c r="B7" s="144">
        <v>2302</v>
      </c>
      <c r="C7" s="376">
        <v>24100000</v>
      </c>
      <c r="D7" s="561">
        <v>42839</v>
      </c>
      <c r="E7" s="562">
        <v>1191</v>
      </c>
      <c r="F7" s="83">
        <v>59550000</v>
      </c>
      <c r="G7" s="83">
        <v>11</v>
      </c>
      <c r="H7" s="83">
        <v>550000</v>
      </c>
      <c r="I7" s="420">
        <v>630</v>
      </c>
      <c r="J7" s="92">
        <f>I7*50000</f>
        <v>31500000</v>
      </c>
      <c r="K7" s="608">
        <v>629</v>
      </c>
      <c r="L7" s="608">
        <v>629</v>
      </c>
      <c r="M7" s="331">
        <v>31450000</v>
      </c>
      <c r="N7" s="332">
        <v>112</v>
      </c>
      <c r="O7" s="333">
        <v>5600000</v>
      </c>
      <c r="P7" s="235">
        <f>J7-M7</f>
        <v>50000</v>
      </c>
      <c r="Q7" s="59">
        <v>0</v>
      </c>
      <c r="R7" s="317">
        <v>1086</v>
      </c>
      <c r="S7" s="11">
        <v>28550000</v>
      </c>
      <c r="T7" s="396">
        <v>1022</v>
      </c>
      <c r="U7" s="378">
        <v>27028500</v>
      </c>
      <c r="V7" s="362">
        <v>0</v>
      </c>
      <c r="W7" s="362">
        <v>0</v>
      </c>
      <c r="X7" s="362">
        <v>146</v>
      </c>
      <c r="Y7" s="362">
        <v>5110000</v>
      </c>
      <c r="Z7" s="362">
        <v>437</v>
      </c>
      <c r="AA7" s="362">
        <v>21918500</v>
      </c>
      <c r="AB7" s="12"/>
      <c r="AC7" s="12"/>
    </row>
    <row r="8" spans="1:29" s="23" customFormat="1" ht="23.45" customHeight="1" x14ac:dyDescent="0.25">
      <c r="A8" s="3" t="s">
        <v>487</v>
      </c>
      <c r="B8" s="58">
        <v>64281</v>
      </c>
      <c r="C8" s="165">
        <v>28000000</v>
      </c>
      <c r="D8" s="111">
        <v>44718</v>
      </c>
      <c r="E8" s="186">
        <v>1030</v>
      </c>
      <c r="F8" s="186">
        <v>36030000</v>
      </c>
      <c r="G8" s="186">
        <v>11</v>
      </c>
      <c r="H8" s="186">
        <v>365000</v>
      </c>
      <c r="I8" s="186">
        <v>800</v>
      </c>
      <c r="J8" s="92">
        <v>28000000</v>
      </c>
      <c r="K8" s="34">
        <f>805-47</f>
        <v>758</v>
      </c>
      <c r="L8" s="34">
        <f>803-47</f>
        <v>756</v>
      </c>
      <c r="M8" s="11">
        <f>28105000-1645000</f>
        <v>26460000</v>
      </c>
      <c r="N8" s="332">
        <f>174+48</f>
        <v>222</v>
      </c>
      <c r="O8" s="333">
        <f>6090000+1645000</f>
        <v>7735000</v>
      </c>
      <c r="P8" s="235">
        <f>J8-M8</f>
        <v>1540000</v>
      </c>
      <c r="Q8" s="59">
        <v>0</v>
      </c>
      <c r="R8" s="317">
        <v>964</v>
      </c>
      <c r="S8" s="11">
        <v>21056000</v>
      </c>
      <c r="T8" s="396">
        <v>810</v>
      </c>
      <c r="U8" s="378">
        <v>18511474.899999999</v>
      </c>
      <c r="V8" s="362">
        <v>0</v>
      </c>
      <c r="W8" s="362">
        <v>0</v>
      </c>
      <c r="X8" s="362">
        <v>629</v>
      </c>
      <c r="Y8" s="290">
        <f>15435000-73525.1</f>
        <v>15361474.9</v>
      </c>
      <c r="Z8" s="362">
        <v>90</v>
      </c>
      <c r="AA8" s="362">
        <v>3150000</v>
      </c>
      <c r="AB8" s="12"/>
      <c r="AC8" s="12"/>
    </row>
    <row r="9" spans="1:29" x14ac:dyDescent="0.25">
      <c r="A9" s="19" t="s">
        <v>190</v>
      </c>
      <c r="B9" s="60"/>
      <c r="C9" s="20">
        <f>SUM(C6:C8)</f>
        <v>100680000</v>
      </c>
      <c r="D9" s="20"/>
      <c r="E9" s="20">
        <f t="shared" ref="E9:T9" si="0">SUM(E6:E8)</f>
        <v>3820</v>
      </c>
      <c r="F9" s="20">
        <f t="shared" si="0"/>
        <v>151600000</v>
      </c>
      <c r="G9" s="20">
        <f t="shared" si="0"/>
        <v>66</v>
      </c>
      <c r="H9" s="20">
        <f t="shared" si="0"/>
        <v>2510000</v>
      </c>
      <c r="I9" s="20">
        <f t="shared" si="0"/>
        <v>2719</v>
      </c>
      <c r="J9" s="20">
        <f t="shared" si="0"/>
        <v>104615000</v>
      </c>
      <c r="K9" s="20">
        <f t="shared" si="0"/>
        <v>2638</v>
      </c>
      <c r="L9" s="20">
        <f t="shared" si="0"/>
        <v>2634</v>
      </c>
      <c r="M9" s="20">
        <f t="shared" si="0"/>
        <v>101625000</v>
      </c>
      <c r="N9" s="20">
        <f t="shared" si="0"/>
        <v>626</v>
      </c>
      <c r="O9" s="20">
        <f t="shared" si="0"/>
        <v>23555000</v>
      </c>
      <c r="P9" s="20">
        <f t="shared" si="0"/>
        <v>2990000</v>
      </c>
      <c r="Q9" s="20">
        <f t="shared" si="0"/>
        <v>3465000</v>
      </c>
      <c r="R9" s="20">
        <f t="shared" si="0"/>
        <v>4255</v>
      </c>
      <c r="S9" s="20">
        <f t="shared" si="0"/>
        <v>89887500</v>
      </c>
      <c r="T9" s="20">
        <f t="shared" si="0"/>
        <v>3945</v>
      </c>
      <c r="U9" s="20">
        <f>SUM(U6:U8)-919000</f>
        <v>83635474.900000006</v>
      </c>
      <c r="V9" s="20">
        <f>SUM(V6:V8)</f>
        <v>0</v>
      </c>
      <c r="W9" s="20">
        <f>SUM(W6:W8)</f>
        <v>0</v>
      </c>
      <c r="X9" s="20">
        <f>SUM(X6:X8)</f>
        <v>1062</v>
      </c>
      <c r="Y9" s="20">
        <f>SUM(Y6:Y8)-919000</f>
        <v>26583974.899999999</v>
      </c>
      <c r="Z9" s="20">
        <f>SUM(Z6:Z8)</f>
        <v>1438</v>
      </c>
      <c r="AA9" s="20">
        <f>SUM(AA6:AA8)</f>
        <v>57051500</v>
      </c>
      <c r="AB9" s="449"/>
      <c r="AC9" s="12"/>
    </row>
    <row r="10" spans="1:29" ht="11.45" customHeight="1" x14ac:dyDescent="0.25">
      <c r="A10" s="161"/>
      <c r="B10" s="140"/>
      <c r="C10" s="140"/>
      <c r="D10" s="140"/>
      <c r="E10" s="140"/>
      <c r="F10" s="140"/>
      <c r="G10" s="140"/>
      <c r="H10" s="140"/>
      <c r="I10" s="140"/>
      <c r="J10" s="140"/>
      <c r="K10" s="140"/>
      <c r="L10" s="140"/>
      <c r="M10" s="140"/>
      <c r="N10" s="140"/>
      <c r="O10" s="140"/>
      <c r="P10" s="419"/>
      <c r="Q10" s="419"/>
      <c r="R10" s="140"/>
      <c r="S10" s="419"/>
      <c r="T10" s="140"/>
      <c r="U10" s="140"/>
      <c r="AB10" s="12"/>
      <c r="AC10" s="12"/>
    </row>
    <row r="11" spans="1:29" x14ac:dyDescent="0.25">
      <c r="A11" s="14" t="s">
        <v>191</v>
      </c>
      <c r="B11" s="14"/>
      <c r="AB11" s="12"/>
      <c r="AC11" s="12"/>
    </row>
    <row r="12" spans="1:29" s="12" customFormat="1" ht="28.9" customHeight="1" x14ac:dyDescent="0.2">
      <c r="A12" s="966" t="s">
        <v>156</v>
      </c>
      <c r="B12" s="966" t="s">
        <v>282</v>
      </c>
      <c r="C12" s="966" t="s">
        <v>157</v>
      </c>
      <c r="D12" s="966" t="s">
        <v>158</v>
      </c>
      <c r="E12" s="969" t="s">
        <v>337</v>
      </c>
      <c r="F12" s="970"/>
      <c r="G12" s="969" t="s">
        <v>277</v>
      </c>
      <c r="H12" s="970"/>
      <c r="I12" s="969" t="s">
        <v>159</v>
      </c>
      <c r="J12" s="970"/>
      <c r="K12" s="976" t="s">
        <v>717</v>
      </c>
      <c r="L12" s="977"/>
      <c r="M12" s="977"/>
      <c r="N12" s="977"/>
      <c r="O12" s="978"/>
      <c r="P12" s="966" t="s">
        <v>250</v>
      </c>
      <c r="Q12" s="966" t="s">
        <v>630</v>
      </c>
      <c r="R12" s="969" t="s">
        <v>718</v>
      </c>
      <c r="S12" s="970"/>
      <c r="T12" s="969" t="s">
        <v>719</v>
      </c>
      <c r="U12" s="970"/>
      <c r="V12" s="982" t="s">
        <v>719</v>
      </c>
      <c r="W12" s="982"/>
      <c r="X12" s="982"/>
      <c r="Y12" s="982"/>
      <c r="Z12" s="982"/>
      <c r="AA12" s="982"/>
    </row>
    <row r="13" spans="1:29" s="12" customFormat="1" ht="14.45" customHeight="1" x14ac:dyDescent="0.2">
      <c r="A13" s="967"/>
      <c r="B13" s="967"/>
      <c r="C13" s="967"/>
      <c r="D13" s="967"/>
      <c r="E13" s="971"/>
      <c r="F13" s="972"/>
      <c r="G13" s="971"/>
      <c r="H13" s="972"/>
      <c r="I13" s="971"/>
      <c r="J13" s="972"/>
      <c r="K13" s="976" t="s">
        <v>160</v>
      </c>
      <c r="L13" s="977"/>
      <c r="M13" s="978"/>
      <c r="N13" s="969" t="s">
        <v>631</v>
      </c>
      <c r="O13" s="970"/>
      <c r="P13" s="967"/>
      <c r="Q13" s="967"/>
      <c r="R13" s="971"/>
      <c r="S13" s="972"/>
      <c r="T13" s="971"/>
      <c r="U13" s="972"/>
      <c r="V13" s="982"/>
      <c r="W13" s="982"/>
      <c r="X13" s="982"/>
      <c r="Y13" s="982"/>
      <c r="Z13" s="982"/>
      <c r="AA13" s="982"/>
    </row>
    <row r="14" spans="1:29" s="12" customFormat="1" ht="20.25" customHeight="1" x14ac:dyDescent="0.2">
      <c r="A14" s="967"/>
      <c r="B14" s="967"/>
      <c r="C14" s="967"/>
      <c r="D14" s="967"/>
      <c r="E14" s="973"/>
      <c r="F14" s="974"/>
      <c r="G14" s="973"/>
      <c r="H14" s="974"/>
      <c r="I14" s="973"/>
      <c r="J14" s="974"/>
      <c r="K14" s="979" t="s">
        <v>161</v>
      </c>
      <c r="L14" s="976" t="s">
        <v>247</v>
      </c>
      <c r="M14" s="978"/>
      <c r="N14" s="973"/>
      <c r="O14" s="974"/>
      <c r="P14" s="975"/>
      <c r="Q14" s="975"/>
      <c r="R14" s="973"/>
      <c r="S14" s="974"/>
      <c r="T14" s="973"/>
      <c r="U14" s="974"/>
      <c r="V14" s="982" t="s">
        <v>587</v>
      </c>
      <c r="W14" s="982"/>
      <c r="X14" s="982" t="s">
        <v>588</v>
      </c>
      <c r="Y14" s="982"/>
      <c r="Z14" s="982" t="s">
        <v>589</v>
      </c>
      <c r="AA14" s="982"/>
    </row>
    <row r="15" spans="1:29" s="12" customFormat="1" ht="21" x14ac:dyDescent="0.2">
      <c r="A15" s="968"/>
      <c r="B15" s="968"/>
      <c r="C15" s="968"/>
      <c r="D15" s="968"/>
      <c r="E15" s="160" t="s">
        <v>161</v>
      </c>
      <c r="F15" s="130" t="s">
        <v>162</v>
      </c>
      <c r="G15" s="15" t="s">
        <v>161</v>
      </c>
      <c r="H15" s="16" t="s">
        <v>162</v>
      </c>
      <c r="I15" s="160" t="s">
        <v>161</v>
      </c>
      <c r="J15" s="130" t="s">
        <v>162</v>
      </c>
      <c r="K15" s="980"/>
      <c r="L15" s="160" t="s">
        <v>161</v>
      </c>
      <c r="M15" s="130" t="s">
        <v>162</v>
      </c>
      <c r="N15" s="160" t="s">
        <v>161</v>
      </c>
      <c r="O15" s="130" t="s">
        <v>162</v>
      </c>
      <c r="P15" s="16" t="s">
        <v>162</v>
      </c>
      <c r="Q15" s="16" t="s">
        <v>162</v>
      </c>
      <c r="R15" s="15" t="s">
        <v>161</v>
      </c>
      <c r="S15" s="16" t="s">
        <v>162</v>
      </c>
      <c r="T15" s="78" t="s">
        <v>161</v>
      </c>
      <c r="U15" s="79" t="s">
        <v>162</v>
      </c>
      <c r="V15" s="227" t="s">
        <v>161</v>
      </c>
      <c r="W15" s="218" t="s">
        <v>162</v>
      </c>
      <c r="X15" s="227" t="s">
        <v>161</v>
      </c>
      <c r="Y15" s="218" t="s">
        <v>162</v>
      </c>
      <c r="Z15" s="227" t="s">
        <v>161</v>
      </c>
      <c r="AA15" s="218" t="s">
        <v>162</v>
      </c>
    </row>
    <row r="16" spans="1:29" s="23" customFormat="1" ht="33.75" x14ac:dyDescent="0.25">
      <c r="A16" s="3" t="s">
        <v>192</v>
      </c>
      <c r="B16" s="3">
        <v>7423</v>
      </c>
      <c r="C16" s="408">
        <v>6500000</v>
      </c>
      <c r="D16" s="31">
        <v>43035</v>
      </c>
      <c r="E16" s="25">
        <v>345</v>
      </c>
      <c r="F16" s="165">
        <v>17229270.949999999</v>
      </c>
      <c r="G16" s="165">
        <v>2</v>
      </c>
      <c r="H16" s="165">
        <v>100000</v>
      </c>
      <c r="I16" s="34">
        <v>127</v>
      </c>
      <c r="J16" s="408">
        <v>6350000</v>
      </c>
      <c r="K16" s="225">
        <f>167-40</f>
        <v>127</v>
      </c>
      <c r="L16" s="225">
        <f>167-40</f>
        <v>127</v>
      </c>
      <c r="M16" s="408">
        <f>8350000-2000000</f>
        <v>6350000</v>
      </c>
      <c r="N16" s="59">
        <f>166+40</f>
        <v>206</v>
      </c>
      <c r="O16" s="165">
        <f>8286648+2000000</f>
        <v>10286648</v>
      </c>
      <c r="P16" s="235">
        <f>J16-M16</f>
        <v>0</v>
      </c>
      <c r="Q16" s="59">
        <v>0</v>
      </c>
      <c r="R16" s="317">
        <v>216</v>
      </c>
      <c r="S16" s="11">
        <v>5760000</v>
      </c>
      <c r="T16" s="34">
        <v>188</v>
      </c>
      <c r="U16" s="11">
        <v>5160000</v>
      </c>
      <c r="V16" s="362">
        <v>0</v>
      </c>
      <c r="W16" s="362">
        <v>0</v>
      </c>
      <c r="X16" s="317">
        <v>45</v>
      </c>
      <c r="Y16" s="11">
        <v>1575000</v>
      </c>
      <c r="Z16" s="317">
        <v>71</v>
      </c>
      <c r="AA16" s="11">
        <v>3585000</v>
      </c>
      <c r="AB16" s="12"/>
      <c r="AC16" s="12"/>
    </row>
    <row r="17" spans="1:29" x14ac:dyDescent="0.25">
      <c r="A17" s="19" t="s">
        <v>193</v>
      </c>
      <c r="B17" s="60"/>
      <c r="C17" s="20">
        <f>SUM(C16:C16)</f>
        <v>6500000</v>
      </c>
      <c r="D17" s="20"/>
      <c r="E17" s="20">
        <f t="shared" ref="E17:T17" si="1">SUM(E16:E16)</f>
        <v>345</v>
      </c>
      <c r="F17" s="61">
        <f t="shared" si="1"/>
        <v>17229270.949999999</v>
      </c>
      <c r="G17" s="61">
        <f t="shared" si="1"/>
        <v>2</v>
      </c>
      <c r="H17" s="61">
        <f t="shared" si="1"/>
        <v>100000</v>
      </c>
      <c r="I17" s="61">
        <f t="shared" si="1"/>
        <v>127</v>
      </c>
      <c r="J17" s="20">
        <f t="shared" si="1"/>
        <v>6350000</v>
      </c>
      <c r="K17" s="20">
        <f t="shared" si="1"/>
        <v>127</v>
      </c>
      <c r="L17" s="20">
        <f t="shared" si="1"/>
        <v>127</v>
      </c>
      <c r="M17" s="20">
        <f t="shared" si="1"/>
        <v>6350000</v>
      </c>
      <c r="N17" s="20">
        <f t="shared" si="1"/>
        <v>206</v>
      </c>
      <c r="O17" s="20">
        <f t="shared" si="1"/>
        <v>10286648</v>
      </c>
      <c r="P17" s="20">
        <f t="shared" si="1"/>
        <v>0</v>
      </c>
      <c r="Q17" s="20">
        <f t="shared" si="1"/>
        <v>0</v>
      </c>
      <c r="R17" s="20">
        <f t="shared" si="1"/>
        <v>216</v>
      </c>
      <c r="S17" s="20">
        <f t="shared" si="1"/>
        <v>5760000</v>
      </c>
      <c r="T17" s="20">
        <f t="shared" si="1"/>
        <v>188</v>
      </c>
      <c r="U17" s="20">
        <f>SUM(U16:U16)-85000</f>
        <v>5075000</v>
      </c>
      <c r="V17" s="20">
        <f>SUM(V16:V16)</f>
        <v>0</v>
      </c>
      <c r="W17" s="20">
        <f t="shared" ref="W17:Z17" si="2">SUM(W16:W16)</f>
        <v>0</v>
      </c>
      <c r="X17" s="20">
        <f t="shared" si="2"/>
        <v>45</v>
      </c>
      <c r="Y17" s="20">
        <f>SUM(Y16:Y16)-85000</f>
        <v>1490000</v>
      </c>
      <c r="Z17" s="20">
        <f t="shared" si="2"/>
        <v>71</v>
      </c>
      <c r="AA17" s="20">
        <f>SUM(AA16:AA16)</f>
        <v>3585000</v>
      </c>
      <c r="AB17" s="12"/>
      <c r="AC17" s="12"/>
    </row>
    <row r="18" spans="1:29" ht="12" customHeight="1" x14ac:dyDescent="0.25">
      <c r="A18" s="96" t="s">
        <v>621</v>
      </c>
      <c r="U18" s="50"/>
      <c r="AB18" s="12"/>
      <c r="AC18" s="12"/>
    </row>
    <row r="19" spans="1:29" ht="11.45" customHeight="1" x14ac:dyDescent="0.25">
      <c r="A19" s="96"/>
      <c r="U19" s="50"/>
      <c r="AB19" s="12"/>
      <c r="AC19" s="12"/>
    </row>
    <row r="20" spans="1:29" ht="12.6" customHeight="1" x14ac:dyDescent="0.25">
      <c r="A20" s="14" t="s">
        <v>626</v>
      </c>
      <c r="B20" s="14"/>
      <c r="AB20" s="12"/>
      <c r="AC20" s="12"/>
    </row>
    <row r="21" spans="1:29" s="12" customFormat="1" ht="28.9" customHeight="1" x14ac:dyDescent="0.2">
      <c r="A21" s="966" t="s">
        <v>156</v>
      </c>
      <c r="B21" s="966" t="s">
        <v>282</v>
      </c>
      <c r="C21" s="966" t="s">
        <v>157</v>
      </c>
      <c r="D21" s="966" t="s">
        <v>158</v>
      </c>
      <c r="E21" s="969" t="s">
        <v>337</v>
      </c>
      <c r="F21" s="970"/>
      <c r="G21" s="969" t="s">
        <v>277</v>
      </c>
      <c r="H21" s="970"/>
      <c r="I21" s="969" t="s">
        <v>159</v>
      </c>
      <c r="J21" s="970"/>
      <c r="K21" s="976" t="s">
        <v>717</v>
      </c>
      <c r="L21" s="977"/>
      <c r="M21" s="977"/>
      <c r="N21" s="977"/>
      <c r="O21" s="978"/>
      <c r="P21" s="966" t="s">
        <v>250</v>
      </c>
      <c r="Q21" s="966" t="s">
        <v>630</v>
      </c>
      <c r="R21" s="969" t="s">
        <v>718</v>
      </c>
      <c r="S21" s="970"/>
      <c r="T21" s="969" t="s">
        <v>719</v>
      </c>
      <c r="U21" s="970"/>
      <c r="V21" s="982" t="s">
        <v>719</v>
      </c>
      <c r="W21" s="982"/>
      <c r="X21" s="982"/>
      <c r="Y21" s="982"/>
      <c r="Z21" s="982"/>
      <c r="AA21" s="982"/>
    </row>
    <row r="22" spans="1:29" s="12" customFormat="1" ht="14.45" customHeight="1" x14ac:dyDescent="0.2">
      <c r="A22" s="967"/>
      <c r="B22" s="967"/>
      <c r="C22" s="967"/>
      <c r="D22" s="967"/>
      <c r="E22" s="971"/>
      <c r="F22" s="972"/>
      <c r="G22" s="971"/>
      <c r="H22" s="972"/>
      <c r="I22" s="971"/>
      <c r="J22" s="972"/>
      <c r="K22" s="976" t="s">
        <v>160</v>
      </c>
      <c r="L22" s="977"/>
      <c r="M22" s="978"/>
      <c r="N22" s="969" t="s">
        <v>631</v>
      </c>
      <c r="O22" s="970"/>
      <c r="P22" s="967"/>
      <c r="Q22" s="967"/>
      <c r="R22" s="971"/>
      <c r="S22" s="972"/>
      <c r="T22" s="971"/>
      <c r="U22" s="972"/>
      <c r="V22" s="982"/>
      <c r="W22" s="982"/>
      <c r="X22" s="982"/>
      <c r="Y22" s="982"/>
      <c r="Z22" s="982"/>
      <c r="AA22" s="982"/>
    </row>
    <row r="23" spans="1:29" s="12" customFormat="1" ht="20.25" customHeight="1" x14ac:dyDescent="0.2">
      <c r="A23" s="967"/>
      <c r="B23" s="967"/>
      <c r="C23" s="967"/>
      <c r="D23" s="967"/>
      <c r="E23" s="973"/>
      <c r="F23" s="974"/>
      <c r="G23" s="973"/>
      <c r="H23" s="974"/>
      <c r="I23" s="973"/>
      <c r="J23" s="974"/>
      <c r="K23" s="979" t="s">
        <v>161</v>
      </c>
      <c r="L23" s="976" t="s">
        <v>247</v>
      </c>
      <c r="M23" s="978"/>
      <c r="N23" s="973"/>
      <c r="O23" s="974"/>
      <c r="P23" s="975"/>
      <c r="Q23" s="975"/>
      <c r="R23" s="973"/>
      <c r="S23" s="974"/>
      <c r="T23" s="973"/>
      <c r="U23" s="974"/>
      <c r="V23" s="982" t="s">
        <v>587</v>
      </c>
      <c r="W23" s="982"/>
      <c r="X23" s="982" t="s">
        <v>588</v>
      </c>
      <c r="Y23" s="982"/>
      <c r="Z23" s="982" t="s">
        <v>589</v>
      </c>
      <c r="AA23" s="982"/>
    </row>
    <row r="24" spans="1:29" s="12" customFormat="1" ht="21" x14ac:dyDescent="0.2">
      <c r="A24" s="968"/>
      <c r="B24" s="968"/>
      <c r="C24" s="968"/>
      <c r="D24" s="968"/>
      <c r="E24" s="160" t="s">
        <v>161</v>
      </c>
      <c r="F24" s="130" t="s">
        <v>162</v>
      </c>
      <c r="G24" s="15" t="s">
        <v>161</v>
      </c>
      <c r="H24" s="16" t="s">
        <v>162</v>
      </c>
      <c r="I24" s="160" t="s">
        <v>161</v>
      </c>
      <c r="J24" s="130" t="s">
        <v>162</v>
      </c>
      <c r="K24" s="980"/>
      <c r="L24" s="160" t="s">
        <v>161</v>
      </c>
      <c r="M24" s="130" t="s">
        <v>162</v>
      </c>
      <c r="N24" s="160" t="s">
        <v>161</v>
      </c>
      <c r="O24" s="130" t="s">
        <v>162</v>
      </c>
      <c r="P24" s="16" t="s">
        <v>162</v>
      </c>
      <c r="Q24" s="16" t="s">
        <v>162</v>
      </c>
      <c r="R24" s="15" t="s">
        <v>161</v>
      </c>
      <c r="S24" s="16" t="s">
        <v>162</v>
      </c>
      <c r="T24" s="78" t="s">
        <v>161</v>
      </c>
      <c r="U24" s="79" t="s">
        <v>162</v>
      </c>
      <c r="V24" s="227" t="s">
        <v>161</v>
      </c>
      <c r="W24" s="218" t="s">
        <v>162</v>
      </c>
      <c r="X24" s="227" t="s">
        <v>161</v>
      </c>
      <c r="Y24" s="218" t="s">
        <v>162</v>
      </c>
      <c r="Z24" s="227" t="s">
        <v>161</v>
      </c>
      <c r="AA24" s="218" t="s">
        <v>162</v>
      </c>
    </row>
    <row r="25" spans="1:29" s="23" customFormat="1" ht="20.45" customHeight="1" x14ac:dyDescent="0.25">
      <c r="A25" s="1006" t="s">
        <v>643</v>
      </c>
      <c r="B25" s="340">
        <v>7766</v>
      </c>
      <c r="C25" s="318">
        <v>8000000</v>
      </c>
      <c r="D25" s="31">
        <v>43035</v>
      </c>
      <c r="E25" s="25">
        <v>251</v>
      </c>
      <c r="F25" s="165">
        <v>33044785.420000002</v>
      </c>
      <c r="G25" s="165">
        <v>3</v>
      </c>
      <c r="H25" s="165">
        <v>352796.41000000003</v>
      </c>
      <c r="I25" s="34">
        <v>43</v>
      </c>
      <c r="J25" s="11">
        <v>6000000</v>
      </c>
      <c r="K25" s="34">
        <f>56-16</f>
        <v>40</v>
      </c>
      <c r="L25" s="34">
        <f>56-16</f>
        <v>40</v>
      </c>
      <c r="M25" s="11">
        <f>7669602.01-1956415.94</f>
        <v>5713186.0700000003</v>
      </c>
      <c r="N25" s="59">
        <f>16+25</f>
        <v>41</v>
      </c>
      <c r="O25" s="122">
        <f>2229345.07+1956415.54</f>
        <v>4185760.61</v>
      </c>
      <c r="P25" s="235">
        <f>J25-M25</f>
        <v>286813.9299999997</v>
      </c>
      <c r="Q25" s="59">
        <f>C25-J25</f>
        <v>2000000</v>
      </c>
      <c r="R25" s="317">
        <v>68</v>
      </c>
      <c r="S25" s="11">
        <v>4860128.080000001</v>
      </c>
      <c r="T25" s="34">
        <v>64</v>
      </c>
      <c r="U25" s="11">
        <f>4467122.55-160598.49</f>
        <v>4306524.0599999996</v>
      </c>
      <c r="V25" s="317">
        <v>5</v>
      </c>
      <c r="W25" s="11">
        <f>484659.73-160598.49</f>
        <v>324061.24</v>
      </c>
      <c r="X25" s="317">
        <v>2</v>
      </c>
      <c r="Y25" s="11">
        <v>111250.09</v>
      </c>
      <c r="Z25" s="317">
        <v>32</v>
      </c>
      <c r="AA25" s="11">
        <v>3871212.7300000004</v>
      </c>
      <c r="AB25" s="12"/>
      <c r="AC25" s="12"/>
    </row>
    <row r="26" spans="1:29" s="23" customFormat="1" x14ac:dyDescent="0.25">
      <c r="A26" s="910"/>
      <c r="B26" s="403">
        <v>80642</v>
      </c>
      <c r="C26" s="165">
        <v>2200000</v>
      </c>
      <c r="D26" s="423">
        <v>45475</v>
      </c>
      <c r="E26" s="25">
        <v>61</v>
      </c>
      <c r="F26" s="165">
        <v>2762720.1100000003</v>
      </c>
      <c r="G26" s="165">
        <v>0</v>
      </c>
      <c r="H26" s="165">
        <v>0</v>
      </c>
      <c r="I26" s="59">
        <v>60</v>
      </c>
      <c r="J26" s="11">
        <v>2676095.11</v>
      </c>
      <c r="K26" s="569">
        <v>22</v>
      </c>
      <c r="L26" s="569">
        <v>22</v>
      </c>
      <c r="M26" s="570">
        <v>1049648.0899999999</v>
      </c>
      <c r="N26" s="366">
        <v>12</v>
      </c>
      <c r="O26" s="571">
        <v>521745.67000000004</v>
      </c>
      <c r="P26" s="235">
        <f>J26-M26</f>
        <v>1626447.02</v>
      </c>
      <c r="Q26" s="59">
        <v>0</v>
      </c>
      <c r="R26" s="317">
        <v>4</v>
      </c>
      <c r="S26" s="11">
        <v>72799.540000000008</v>
      </c>
      <c r="T26" s="34">
        <v>2</v>
      </c>
      <c r="U26" s="11">
        <v>59237.789999999994</v>
      </c>
      <c r="V26" s="34">
        <v>2</v>
      </c>
      <c r="W26" s="11">
        <v>59237.789999999994</v>
      </c>
      <c r="X26" s="25">
        <v>0</v>
      </c>
      <c r="Y26" s="165">
        <v>0</v>
      </c>
      <c r="Z26" s="25">
        <v>0</v>
      </c>
      <c r="AA26" s="165">
        <v>0</v>
      </c>
      <c r="AB26" s="12"/>
      <c r="AC26" s="12"/>
    </row>
    <row r="27" spans="1:29" s="23" customFormat="1" ht="22.5" x14ac:dyDescent="0.25">
      <c r="A27" s="3" t="s">
        <v>194</v>
      </c>
      <c r="B27" s="340">
        <v>7923</v>
      </c>
      <c r="C27" s="170">
        <v>6000000</v>
      </c>
      <c r="D27" s="31">
        <v>43035</v>
      </c>
      <c r="E27" s="1">
        <v>91</v>
      </c>
      <c r="F27" s="165">
        <v>10208307.99</v>
      </c>
      <c r="G27" s="165">
        <v>1</v>
      </c>
      <c r="H27" s="165">
        <v>199304.76</v>
      </c>
      <c r="I27" s="34">
        <v>55</v>
      </c>
      <c r="J27" s="170">
        <v>6000000</v>
      </c>
      <c r="K27" s="34">
        <f>67-13</f>
        <v>54</v>
      </c>
      <c r="L27" s="34">
        <f>67-13</f>
        <v>54</v>
      </c>
      <c r="M27" s="11">
        <f>7356587.39-1394924</f>
        <v>5961663.3899999997</v>
      </c>
      <c r="N27" s="34">
        <f>22+13</f>
        <v>35</v>
      </c>
      <c r="O27" s="11">
        <f>2090035.41+1394924</f>
        <v>3484959.41</v>
      </c>
      <c r="P27" s="18">
        <v>129298.86</v>
      </c>
      <c r="Q27" s="59">
        <v>0</v>
      </c>
      <c r="R27" s="317">
        <v>98</v>
      </c>
      <c r="S27" s="11">
        <v>5236080.3199999984</v>
      </c>
      <c r="T27" s="34">
        <v>86</v>
      </c>
      <c r="U27" s="11">
        <f>4764807.84-346006.88</f>
        <v>4418800.96</v>
      </c>
      <c r="V27" s="317">
        <v>8</v>
      </c>
      <c r="W27" s="11">
        <v>456346.31</v>
      </c>
      <c r="X27" s="317">
        <v>6</v>
      </c>
      <c r="Y27" s="11">
        <f>729017.3-346006.88</f>
        <v>383010.42000000004</v>
      </c>
      <c r="Z27" s="317">
        <v>35</v>
      </c>
      <c r="AA27" s="11">
        <v>3579444.2300000009</v>
      </c>
      <c r="AB27" s="12"/>
      <c r="AC27" s="12"/>
    </row>
    <row r="28" spans="1:29" x14ac:dyDescent="0.25">
      <c r="A28" s="19" t="s">
        <v>195</v>
      </c>
      <c r="B28" s="60"/>
      <c r="C28" s="20">
        <f>SUM(C25:C27)</f>
        <v>16200000</v>
      </c>
      <c r="D28" s="20"/>
      <c r="E28" s="20">
        <f t="shared" ref="E28:T28" si="3">SUM(E25:E27)</f>
        <v>403</v>
      </c>
      <c r="F28" s="20">
        <f t="shared" si="3"/>
        <v>46015813.520000003</v>
      </c>
      <c r="G28" s="20">
        <f t="shared" si="3"/>
        <v>4</v>
      </c>
      <c r="H28" s="20">
        <f t="shared" si="3"/>
        <v>552101.17000000004</v>
      </c>
      <c r="I28" s="20">
        <f t="shared" si="3"/>
        <v>158</v>
      </c>
      <c r="J28" s="20">
        <f t="shared" si="3"/>
        <v>14676095.109999999</v>
      </c>
      <c r="K28" s="20">
        <f t="shared" si="3"/>
        <v>116</v>
      </c>
      <c r="L28" s="20">
        <f t="shared" si="3"/>
        <v>116</v>
      </c>
      <c r="M28" s="20">
        <f t="shared" si="3"/>
        <v>12724497.550000001</v>
      </c>
      <c r="N28" s="20">
        <f t="shared" si="3"/>
        <v>88</v>
      </c>
      <c r="O28" s="20">
        <f t="shared" si="3"/>
        <v>8192465.6900000004</v>
      </c>
      <c r="P28" s="20">
        <f t="shared" si="3"/>
        <v>2042559.8099999998</v>
      </c>
      <c r="Q28" s="20">
        <f t="shared" si="3"/>
        <v>2000000</v>
      </c>
      <c r="R28" s="20">
        <f t="shared" si="3"/>
        <v>170</v>
      </c>
      <c r="S28" s="20">
        <f t="shared" si="3"/>
        <v>10169007.939999999</v>
      </c>
      <c r="T28" s="20">
        <f t="shared" si="3"/>
        <v>152</v>
      </c>
      <c r="U28" s="20">
        <f>SUM(U25:U27)</f>
        <v>8784562.8099999987</v>
      </c>
      <c r="V28" s="20">
        <f>SUM(V25:V27)</f>
        <v>15</v>
      </c>
      <c r="W28" s="20">
        <f t="shared" ref="W28:AA28" si="4">SUM(W25:W27)</f>
        <v>839645.34</v>
      </c>
      <c r="X28" s="20">
        <f t="shared" si="4"/>
        <v>8</v>
      </c>
      <c r="Y28" s="20">
        <f t="shared" si="4"/>
        <v>494260.51</v>
      </c>
      <c r="Z28" s="20">
        <f t="shared" si="4"/>
        <v>67</v>
      </c>
      <c r="AA28" s="20">
        <f t="shared" si="4"/>
        <v>7450656.9600000009</v>
      </c>
      <c r="AB28" s="12"/>
      <c r="AC28" s="12"/>
    </row>
    <row r="29" spans="1:29" ht="15" customHeight="1" x14ac:dyDescent="0.25">
      <c r="A29" s="161" t="s">
        <v>622</v>
      </c>
      <c r="B29" s="140"/>
      <c r="C29" s="140"/>
      <c r="D29" s="140"/>
      <c r="E29" s="140"/>
      <c r="F29" s="140"/>
      <c r="G29" s="140"/>
      <c r="H29" s="140"/>
      <c r="I29" s="140"/>
      <c r="J29" s="140"/>
      <c r="K29" s="140"/>
      <c r="L29" s="140"/>
      <c r="M29" s="140"/>
      <c r="N29" s="140"/>
      <c r="O29" s="140"/>
      <c r="P29" s="140"/>
      <c r="Q29" s="419"/>
      <c r="R29" s="140"/>
      <c r="S29" s="140"/>
      <c r="AB29" s="12"/>
      <c r="AC29" s="12"/>
    </row>
    <row r="30" spans="1:29" ht="12" customHeight="1" x14ac:dyDescent="0.25">
      <c r="A30" s="96" t="s">
        <v>623</v>
      </c>
      <c r="U30" s="50"/>
      <c r="AB30" s="12"/>
      <c r="AC30" s="12"/>
    </row>
    <row r="31" spans="1:29" s="23" customFormat="1" ht="18" customHeight="1" x14ac:dyDescent="0.25">
      <c r="A31" s="981" t="s">
        <v>732</v>
      </c>
      <c r="B31" s="981"/>
      <c r="C31" s="981"/>
      <c r="D31" s="981"/>
      <c r="E31" s="981"/>
      <c r="F31" s="981"/>
      <c r="G31" s="981"/>
      <c r="H31" s="981"/>
      <c r="I31" s="981"/>
      <c r="J31" s="981"/>
      <c r="K31" s="981"/>
      <c r="L31" s="981"/>
      <c r="M31" s="981"/>
      <c r="N31" s="981"/>
      <c r="O31" s="981"/>
      <c r="P31" s="981"/>
      <c r="Q31" s="981"/>
      <c r="R31" s="981"/>
      <c r="S31" s="981"/>
      <c r="T31" s="981"/>
      <c r="U31" s="981"/>
      <c r="V31" s="981"/>
      <c r="W31" s="981"/>
      <c r="X31" s="981"/>
      <c r="Y31" s="981"/>
      <c r="Z31" s="981"/>
      <c r="AA31" s="981"/>
      <c r="AB31" s="12"/>
      <c r="AC31" s="12"/>
    </row>
    <row r="33" spans="5:9" x14ac:dyDescent="0.25">
      <c r="E33" s="50"/>
      <c r="I33" s="50"/>
    </row>
  </sheetData>
  <mergeCells count="62">
    <mergeCell ref="Q21:Q23"/>
    <mergeCell ref="B21:B24"/>
    <mergeCell ref="A12:A15"/>
    <mergeCell ref="C12:C15"/>
    <mergeCell ref="D12:D15"/>
    <mergeCell ref="E12:F14"/>
    <mergeCell ref="B12:B15"/>
    <mergeCell ref="V14:W14"/>
    <mergeCell ref="X14:Y14"/>
    <mergeCell ref="Z14:AA14"/>
    <mergeCell ref="V21:AA22"/>
    <mergeCell ref="V23:W23"/>
    <mergeCell ref="X23:Y23"/>
    <mergeCell ref="Z23:AA23"/>
    <mergeCell ref="V2:AA3"/>
    <mergeCell ref="V4:W4"/>
    <mergeCell ref="X4:Y4"/>
    <mergeCell ref="Z4:AA4"/>
    <mergeCell ref="V12:AA13"/>
    <mergeCell ref="A31:AA31"/>
    <mergeCell ref="I21:J23"/>
    <mergeCell ref="K21:O21"/>
    <mergeCell ref="P21:P23"/>
    <mergeCell ref="G21:H23"/>
    <mergeCell ref="A25:A26"/>
    <mergeCell ref="T21:U23"/>
    <mergeCell ref="K22:M22"/>
    <mergeCell ref="N22:O23"/>
    <mergeCell ref="K23:K24"/>
    <mergeCell ref="L23:M23"/>
    <mergeCell ref="R21:S23"/>
    <mergeCell ref="A21:A24"/>
    <mergeCell ref="C21:C24"/>
    <mergeCell ref="D21:D24"/>
    <mergeCell ref="E21:F23"/>
    <mergeCell ref="R2:S4"/>
    <mergeCell ref="Q2:Q4"/>
    <mergeCell ref="R12:S14"/>
    <mergeCell ref="T12:U14"/>
    <mergeCell ref="K13:M13"/>
    <mergeCell ref="N13:O14"/>
    <mergeCell ref="K14:K15"/>
    <mergeCell ref="L14:M14"/>
    <mergeCell ref="Q12:Q14"/>
    <mergeCell ref="T2:U4"/>
    <mergeCell ref="K3:M3"/>
    <mergeCell ref="K12:O12"/>
    <mergeCell ref="P12:P14"/>
    <mergeCell ref="P2:P4"/>
    <mergeCell ref="A2:A5"/>
    <mergeCell ref="C2:C5"/>
    <mergeCell ref="D2:D5"/>
    <mergeCell ref="E2:F4"/>
    <mergeCell ref="B2:B5"/>
    <mergeCell ref="G2:H4"/>
    <mergeCell ref="G12:H14"/>
    <mergeCell ref="K2:O2"/>
    <mergeCell ref="I2:J4"/>
    <mergeCell ref="I12:J14"/>
    <mergeCell ref="N3:O4"/>
    <mergeCell ref="K4:K5"/>
    <mergeCell ref="L4:M4"/>
  </mergeCells>
  <printOptions horizontalCentered="1"/>
  <pageMargins left="0.51181102362204722" right="0.51181102362204722" top="0.94488188976377963" bottom="0.55118110236220474" header="0.31496062992125984" footer="0.31496062992125984"/>
  <pageSetup paperSize="9" scale="6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55"/>
  <sheetViews>
    <sheetView view="pageBreakPreview" topLeftCell="A16" zoomScaleNormal="100" zoomScaleSheetLayoutView="100" workbookViewId="0">
      <selection activeCell="Q24" sqref="Q24"/>
    </sheetView>
  </sheetViews>
  <sheetFormatPr defaultColWidth="8.7109375" defaultRowHeight="15" x14ac:dyDescent="0.25"/>
  <cols>
    <col min="2" max="2" width="5.7109375" style="4" customWidth="1"/>
    <col min="5" max="5" width="4.5703125" customWidth="1"/>
    <col min="7" max="7" width="3.140625" bestFit="1" customWidth="1"/>
    <col min="9" max="9" width="2.85546875" customWidth="1"/>
    <col min="11" max="11" width="3.140625" bestFit="1" customWidth="1"/>
    <col min="12" max="12" width="4.5703125" customWidth="1"/>
    <col min="13" max="13" width="9.42578125" customWidth="1"/>
    <col min="14" max="14" width="3.7109375" customWidth="1"/>
    <col min="15" max="15" width="9.7109375" customWidth="1"/>
    <col min="16" max="16" width="10.7109375" customWidth="1"/>
    <col min="17" max="17" width="8.42578125" customWidth="1"/>
    <col min="18" max="18" width="2.85546875" customWidth="1"/>
    <col min="19" max="19" width="10.5703125" customWidth="1"/>
    <col min="20" max="20" width="3.42578125" customWidth="1"/>
    <col min="21" max="21" width="9.28515625" customWidth="1"/>
    <col min="22" max="22" width="3.140625" style="131" bestFit="1" customWidth="1"/>
    <col min="23" max="23" width="9" bestFit="1" customWidth="1"/>
    <col min="24" max="24" width="3.140625" bestFit="1" customWidth="1"/>
    <col min="26" max="26" width="3.140625" bestFit="1" customWidth="1"/>
  </cols>
  <sheetData>
    <row r="1" spans="1:27" ht="27.75" customHeight="1" x14ac:dyDescent="0.25">
      <c r="A1" s="1007" t="s">
        <v>625</v>
      </c>
      <c r="B1" s="1007"/>
      <c r="C1" s="1007"/>
      <c r="D1" s="1007"/>
      <c r="E1" s="1007"/>
      <c r="F1" s="1007"/>
      <c r="G1" s="1007"/>
      <c r="H1" s="1007"/>
      <c r="I1" s="1007"/>
      <c r="J1" s="1007"/>
      <c r="K1" s="1007"/>
      <c r="L1" s="1007"/>
      <c r="M1" s="1007"/>
      <c r="N1" s="1007"/>
      <c r="O1" s="1007"/>
      <c r="P1" s="1007"/>
      <c r="Q1" s="1007"/>
      <c r="R1" s="1007"/>
      <c r="S1" s="1007"/>
      <c r="T1" s="1007"/>
      <c r="U1" s="1007"/>
      <c r="V1" s="1007"/>
      <c r="W1" s="1007"/>
      <c r="X1" s="1007"/>
      <c r="Y1" s="1007"/>
      <c r="Z1" s="1007"/>
      <c r="AA1" s="1007"/>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131" customFormat="1" ht="56.25" x14ac:dyDescent="0.2">
      <c r="A6" s="3" t="s">
        <v>260</v>
      </c>
      <c r="B6" s="132">
        <v>41481</v>
      </c>
      <c r="C6" s="25">
        <v>179282.68</v>
      </c>
      <c r="D6" s="2">
        <v>44043</v>
      </c>
      <c r="E6" s="25">
        <v>2</v>
      </c>
      <c r="F6" s="25">
        <v>276976</v>
      </c>
      <c r="G6" s="25">
        <v>1</v>
      </c>
      <c r="H6" s="25">
        <v>97693.32</v>
      </c>
      <c r="I6" s="25">
        <v>1</v>
      </c>
      <c r="J6" s="25">
        <v>179282.68</v>
      </c>
      <c r="K6" s="25">
        <v>1</v>
      </c>
      <c r="L6" s="25">
        <v>1</v>
      </c>
      <c r="M6" s="25">
        <v>179282.68</v>
      </c>
      <c r="N6" s="25">
        <v>0</v>
      </c>
      <c r="O6" s="25">
        <v>0</v>
      </c>
      <c r="P6" s="25">
        <f>J6-M6</f>
        <v>0</v>
      </c>
      <c r="Q6" s="186">
        <f>C6-J6</f>
        <v>0</v>
      </c>
      <c r="R6" s="565">
        <v>1</v>
      </c>
      <c r="S6" s="565">
        <v>53784.81</v>
      </c>
      <c r="T6" s="25">
        <v>0</v>
      </c>
      <c r="U6" s="25">
        <v>0</v>
      </c>
      <c r="V6" s="25">
        <v>0</v>
      </c>
      <c r="W6" s="25">
        <v>0</v>
      </c>
      <c r="X6" s="25">
        <v>0</v>
      </c>
      <c r="Y6" s="25">
        <v>0</v>
      </c>
      <c r="Z6" s="25">
        <v>0</v>
      </c>
      <c r="AA6" s="25">
        <v>0</v>
      </c>
    </row>
    <row r="7" spans="1:27" x14ac:dyDescent="0.25">
      <c r="A7" s="19" t="s">
        <v>261</v>
      </c>
      <c r="B7" s="150"/>
      <c r="C7" s="20">
        <f>C6</f>
        <v>179282.68</v>
      </c>
      <c r="D7" s="20"/>
      <c r="E7" s="20">
        <f>E6</f>
        <v>2</v>
      </c>
      <c r="F7" s="20">
        <f>F6</f>
        <v>276976</v>
      </c>
      <c r="G7" s="20">
        <f>G6</f>
        <v>1</v>
      </c>
      <c r="H7" s="20">
        <f>H6</f>
        <v>97693.32</v>
      </c>
      <c r="I7" s="20">
        <f t="shared" ref="I7:U7" si="0">I6</f>
        <v>1</v>
      </c>
      <c r="J7" s="20">
        <f t="shared" si="0"/>
        <v>179282.68</v>
      </c>
      <c r="K7" s="20">
        <f t="shared" si="0"/>
        <v>1</v>
      </c>
      <c r="L7" s="20">
        <f t="shared" si="0"/>
        <v>1</v>
      </c>
      <c r="M7" s="20">
        <f t="shared" si="0"/>
        <v>179282.68</v>
      </c>
      <c r="N7" s="20">
        <f t="shared" si="0"/>
        <v>0</v>
      </c>
      <c r="O7" s="20">
        <f t="shared" si="0"/>
        <v>0</v>
      </c>
      <c r="P7" s="20">
        <f t="shared" si="0"/>
        <v>0</v>
      </c>
      <c r="Q7" s="20">
        <f t="shared" si="0"/>
        <v>0</v>
      </c>
      <c r="R7" s="20">
        <f t="shared" si="0"/>
        <v>1</v>
      </c>
      <c r="S7" s="20">
        <f t="shared" si="0"/>
        <v>53784.81</v>
      </c>
      <c r="T7" s="20">
        <f t="shared" si="0"/>
        <v>0</v>
      </c>
      <c r="U7" s="20">
        <f t="shared" si="0"/>
        <v>0</v>
      </c>
      <c r="V7" s="20">
        <f t="shared" ref="V7:AA7" si="1">V6</f>
        <v>0</v>
      </c>
      <c r="W7" s="20">
        <f t="shared" si="1"/>
        <v>0</v>
      </c>
      <c r="X7" s="20">
        <f t="shared" si="1"/>
        <v>0</v>
      </c>
      <c r="Y7" s="20">
        <f t="shared" si="1"/>
        <v>0</v>
      </c>
      <c r="Z7" s="20">
        <f t="shared" si="1"/>
        <v>0</v>
      </c>
      <c r="AA7" s="20">
        <f t="shared" si="1"/>
        <v>0</v>
      </c>
    </row>
    <row r="8" spans="1:27" ht="10.5" customHeight="1" x14ac:dyDescent="0.25"/>
    <row r="9" spans="1:27" ht="18.600000000000001" customHeight="1" x14ac:dyDescent="0.25">
      <c r="A9" s="1007" t="s">
        <v>196</v>
      </c>
      <c r="B9" s="1007"/>
      <c r="C9" s="1007"/>
      <c r="D9" s="1007"/>
      <c r="E9" s="1007"/>
      <c r="F9" s="1007"/>
      <c r="G9" s="1007"/>
      <c r="H9" s="1007"/>
      <c r="I9" s="1007"/>
      <c r="J9" s="1007"/>
      <c r="K9" s="1007"/>
      <c r="L9" s="1007"/>
      <c r="M9" s="1007"/>
      <c r="N9" s="1007"/>
      <c r="O9" s="1007"/>
      <c r="P9" s="1007"/>
      <c r="Q9" s="1007"/>
      <c r="R9" s="1007"/>
      <c r="S9" s="1007"/>
      <c r="T9" s="1007"/>
      <c r="U9" s="1007"/>
      <c r="V9" s="1007"/>
      <c r="W9" s="1007"/>
      <c r="X9" s="1007"/>
      <c r="Y9" s="1007"/>
      <c r="Z9" s="1007"/>
      <c r="AA9" s="1007"/>
    </row>
    <row r="10" spans="1:27" s="12" customFormat="1" ht="28.9" customHeight="1" x14ac:dyDescent="0.2">
      <c r="A10" s="966" t="s">
        <v>156</v>
      </c>
      <c r="B10" s="966" t="s">
        <v>282</v>
      </c>
      <c r="C10" s="966" t="s">
        <v>157</v>
      </c>
      <c r="D10" s="966" t="s">
        <v>158</v>
      </c>
      <c r="E10" s="969" t="s">
        <v>337</v>
      </c>
      <c r="F10" s="970"/>
      <c r="G10" s="969" t="s">
        <v>277</v>
      </c>
      <c r="H10" s="970"/>
      <c r="I10" s="969" t="s">
        <v>159</v>
      </c>
      <c r="J10" s="970"/>
      <c r="K10" s="976" t="s">
        <v>717</v>
      </c>
      <c r="L10" s="977"/>
      <c r="M10" s="977"/>
      <c r="N10" s="977"/>
      <c r="O10" s="978"/>
      <c r="P10" s="966" t="s">
        <v>250</v>
      </c>
      <c r="Q10" s="966" t="s">
        <v>630</v>
      </c>
      <c r="R10" s="969" t="s">
        <v>718</v>
      </c>
      <c r="S10" s="970"/>
      <c r="T10" s="969" t="s">
        <v>719</v>
      </c>
      <c r="U10" s="970"/>
      <c r="V10" s="982" t="s">
        <v>719</v>
      </c>
      <c r="W10" s="982"/>
      <c r="X10" s="982"/>
      <c r="Y10" s="982"/>
      <c r="Z10" s="982"/>
      <c r="AA10" s="982"/>
    </row>
    <row r="11" spans="1:27" s="12" customFormat="1" ht="14.45" customHeight="1" x14ac:dyDescent="0.2">
      <c r="A11" s="967"/>
      <c r="B11" s="967"/>
      <c r="C11" s="967"/>
      <c r="D11" s="967"/>
      <c r="E11" s="971"/>
      <c r="F11" s="972"/>
      <c r="G11" s="971"/>
      <c r="H11" s="972"/>
      <c r="I11" s="971"/>
      <c r="J11" s="972"/>
      <c r="K11" s="976" t="s">
        <v>160</v>
      </c>
      <c r="L11" s="977"/>
      <c r="M11" s="978"/>
      <c r="N11" s="969" t="s">
        <v>631</v>
      </c>
      <c r="O11" s="970"/>
      <c r="P11" s="967"/>
      <c r="Q11" s="967"/>
      <c r="R11" s="971"/>
      <c r="S11" s="972"/>
      <c r="T11" s="971"/>
      <c r="U11" s="972"/>
      <c r="V11" s="982"/>
      <c r="W11" s="982"/>
      <c r="X11" s="982"/>
      <c r="Y11" s="982"/>
      <c r="Z11" s="982"/>
      <c r="AA11" s="982"/>
    </row>
    <row r="12" spans="1:27" s="12" customFormat="1" ht="20.25" customHeight="1" x14ac:dyDescent="0.2">
      <c r="A12" s="967"/>
      <c r="B12" s="967"/>
      <c r="C12" s="967"/>
      <c r="D12" s="967"/>
      <c r="E12" s="973"/>
      <c r="F12" s="974"/>
      <c r="G12" s="973"/>
      <c r="H12" s="974"/>
      <c r="I12" s="973"/>
      <c r="J12" s="974"/>
      <c r="K12" s="979" t="s">
        <v>161</v>
      </c>
      <c r="L12" s="976" t="s">
        <v>247</v>
      </c>
      <c r="M12" s="978"/>
      <c r="N12" s="973"/>
      <c r="O12" s="974"/>
      <c r="P12" s="975"/>
      <c r="Q12" s="975"/>
      <c r="R12" s="973"/>
      <c r="S12" s="974"/>
      <c r="T12" s="973"/>
      <c r="U12" s="974"/>
      <c r="V12" s="982" t="s">
        <v>587</v>
      </c>
      <c r="W12" s="982"/>
      <c r="X12" s="982" t="s">
        <v>588</v>
      </c>
      <c r="Y12" s="982"/>
      <c r="Z12" s="982" t="s">
        <v>589</v>
      </c>
      <c r="AA12" s="982"/>
    </row>
    <row r="13" spans="1:27" s="12" customFormat="1" ht="21" x14ac:dyDescent="0.2">
      <c r="A13" s="968"/>
      <c r="B13" s="968"/>
      <c r="C13" s="968"/>
      <c r="D13" s="968"/>
      <c r="E13" s="160" t="s">
        <v>161</v>
      </c>
      <c r="F13" s="130" t="s">
        <v>162</v>
      </c>
      <c r="G13" s="15" t="s">
        <v>161</v>
      </c>
      <c r="H13" s="16" t="s">
        <v>162</v>
      </c>
      <c r="I13" s="160" t="s">
        <v>161</v>
      </c>
      <c r="J13" s="130" t="s">
        <v>162</v>
      </c>
      <c r="K13" s="980"/>
      <c r="L13" s="160" t="s">
        <v>161</v>
      </c>
      <c r="M13" s="130" t="s">
        <v>162</v>
      </c>
      <c r="N13" s="160" t="s">
        <v>161</v>
      </c>
      <c r="O13" s="130" t="s">
        <v>162</v>
      </c>
      <c r="P13" s="16" t="s">
        <v>162</v>
      </c>
      <c r="Q13" s="16" t="s">
        <v>162</v>
      </c>
      <c r="R13" s="15" t="s">
        <v>161</v>
      </c>
      <c r="S13" s="16" t="s">
        <v>162</v>
      </c>
      <c r="T13" s="78" t="s">
        <v>161</v>
      </c>
      <c r="U13" s="79" t="s">
        <v>162</v>
      </c>
      <c r="V13" s="227" t="s">
        <v>161</v>
      </c>
      <c r="W13" s="218" t="s">
        <v>162</v>
      </c>
      <c r="X13" s="227" t="s">
        <v>161</v>
      </c>
      <c r="Y13" s="218" t="s">
        <v>162</v>
      </c>
      <c r="Z13" s="227" t="s">
        <v>161</v>
      </c>
      <c r="AA13" s="218" t="s">
        <v>162</v>
      </c>
    </row>
    <row r="14" spans="1:27" s="23" customFormat="1" ht="22.5" x14ac:dyDescent="0.25">
      <c r="A14" s="299" t="s">
        <v>92</v>
      </c>
      <c r="B14" s="147">
        <v>16181</v>
      </c>
      <c r="C14" s="923">
        <v>4125000</v>
      </c>
      <c r="D14" s="2">
        <v>43361.584016203706</v>
      </c>
      <c r="E14" s="25">
        <v>14</v>
      </c>
      <c r="F14" s="172">
        <v>1836447.32</v>
      </c>
      <c r="G14" s="25">
        <v>0</v>
      </c>
      <c r="H14" s="25">
        <v>0</v>
      </c>
      <c r="I14" s="186">
        <v>8</v>
      </c>
      <c r="J14" s="565">
        <v>956339.73000000021</v>
      </c>
      <c r="K14" s="565">
        <v>8</v>
      </c>
      <c r="L14" s="565">
        <v>8</v>
      </c>
      <c r="M14" s="565">
        <v>953812.69000000018</v>
      </c>
      <c r="N14" s="565">
        <v>6</v>
      </c>
      <c r="O14" s="565">
        <v>710941.8</v>
      </c>
      <c r="P14" s="565">
        <f>J14-M14</f>
        <v>2527.0400000000373</v>
      </c>
      <c r="Q14" s="565">
        <v>0</v>
      </c>
      <c r="R14" s="565">
        <v>4</v>
      </c>
      <c r="S14" s="565">
        <v>538724.12</v>
      </c>
      <c r="T14" s="25">
        <v>0</v>
      </c>
      <c r="U14" s="25">
        <v>0</v>
      </c>
      <c r="V14" s="25">
        <v>0</v>
      </c>
      <c r="W14" s="25">
        <v>0</v>
      </c>
      <c r="X14" s="25">
        <v>0</v>
      </c>
      <c r="Y14" s="25">
        <v>0</v>
      </c>
      <c r="Z14" s="25">
        <v>0</v>
      </c>
      <c r="AA14" s="25">
        <v>0</v>
      </c>
    </row>
    <row r="15" spans="1:27" s="23" customFormat="1" ht="45" x14ac:dyDescent="0.25">
      <c r="A15" s="195" t="s">
        <v>501</v>
      </c>
      <c r="B15" s="132">
        <v>63801</v>
      </c>
      <c r="C15" s="924"/>
      <c r="D15" s="111">
        <v>44718</v>
      </c>
      <c r="E15" s="186">
        <v>31</v>
      </c>
      <c r="F15" s="186">
        <v>4901631.1500000004</v>
      </c>
      <c r="G15" s="186">
        <v>0</v>
      </c>
      <c r="H15" s="186">
        <v>0</v>
      </c>
      <c r="I15" s="196">
        <v>22</v>
      </c>
      <c r="J15" s="59">
        <v>3538334.5</v>
      </c>
      <c r="K15" s="565">
        <v>14</v>
      </c>
      <c r="L15" s="565">
        <v>13</v>
      </c>
      <c r="M15" s="565">
        <v>1463099.93</v>
      </c>
      <c r="N15" s="565">
        <v>7</v>
      </c>
      <c r="O15" s="565">
        <v>1129334.55</v>
      </c>
      <c r="P15" s="565">
        <f>J15-M15</f>
        <v>2075234.57</v>
      </c>
      <c r="Q15" s="366">
        <v>0</v>
      </c>
      <c r="R15" s="566">
        <v>1</v>
      </c>
      <c r="S15" s="566">
        <v>85835.44</v>
      </c>
      <c r="T15" s="290">
        <v>1</v>
      </c>
      <c r="U15" s="290">
        <v>85835.44</v>
      </c>
      <c r="V15" s="290">
        <v>1</v>
      </c>
      <c r="W15" s="290">
        <v>85835.44</v>
      </c>
      <c r="X15" s="290">
        <v>0</v>
      </c>
      <c r="Y15" s="290">
        <v>0</v>
      </c>
      <c r="Z15" s="290">
        <v>0</v>
      </c>
      <c r="AA15" s="290">
        <v>0</v>
      </c>
    </row>
    <row r="16" spans="1:27" ht="17.25" customHeight="1" x14ac:dyDescent="0.25">
      <c r="A16" s="19" t="s">
        <v>197</v>
      </c>
      <c r="B16" s="150"/>
      <c r="C16" s="20">
        <f>SUM(C14:C15)</f>
        <v>4125000</v>
      </c>
      <c r="D16" s="20"/>
      <c r="E16" s="20">
        <f>SUM(E14:E15)</f>
        <v>45</v>
      </c>
      <c r="F16" s="20">
        <f t="shared" ref="F16:T16" si="2">SUM(F14:F15)</f>
        <v>6738078.4700000007</v>
      </c>
      <c r="G16" s="20">
        <f t="shared" si="2"/>
        <v>0</v>
      </c>
      <c r="H16" s="20">
        <f t="shared" si="2"/>
        <v>0</v>
      </c>
      <c r="I16" s="20">
        <f t="shared" si="2"/>
        <v>30</v>
      </c>
      <c r="J16" s="20">
        <f t="shared" si="2"/>
        <v>4494674.2300000004</v>
      </c>
      <c r="K16" s="20">
        <f t="shared" si="2"/>
        <v>22</v>
      </c>
      <c r="L16" s="20">
        <f t="shared" si="2"/>
        <v>21</v>
      </c>
      <c r="M16" s="20">
        <f t="shared" si="2"/>
        <v>2416912.62</v>
      </c>
      <c r="N16" s="20">
        <f t="shared" si="2"/>
        <v>13</v>
      </c>
      <c r="O16" s="20">
        <f t="shared" si="2"/>
        <v>1840276.35</v>
      </c>
      <c r="P16" s="20">
        <f t="shared" si="2"/>
        <v>2077761.61</v>
      </c>
      <c r="Q16" s="20">
        <f t="shared" si="2"/>
        <v>0</v>
      </c>
      <c r="R16" s="20">
        <f t="shared" si="2"/>
        <v>5</v>
      </c>
      <c r="S16" s="20">
        <f t="shared" si="2"/>
        <v>624559.56000000006</v>
      </c>
      <c r="T16" s="20">
        <f t="shared" si="2"/>
        <v>1</v>
      </c>
      <c r="U16" s="20">
        <f>SUM(U14:U15)</f>
        <v>85835.44</v>
      </c>
      <c r="V16" s="20">
        <f t="shared" ref="V16:AA16" si="3">SUM(V14:V15)</f>
        <v>1</v>
      </c>
      <c r="W16" s="20">
        <f t="shared" si="3"/>
        <v>85835.44</v>
      </c>
      <c r="X16" s="20">
        <f t="shared" si="3"/>
        <v>0</v>
      </c>
      <c r="Y16" s="20">
        <f t="shared" si="3"/>
        <v>0</v>
      </c>
      <c r="Z16" s="20">
        <f t="shared" si="3"/>
        <v>0</v>
      </c>
      <c r="AA16" s="20">
        <f t="shared" si="3"/>
        <v>0</v>
      </c>
    </row>
    <row r="17" spans="1:28" ht="9" customHeight="1" x14ac:dyDescent="0.25"/>
    <row r="18" spans="1:28" ht="27.6" customHeight="1" x14ac:dyDescent="0.25">
      <c r="A18" s="1007" t="s">
        <v>198</v>
      </c>
      <c r="B18" s="1007"/>
      <c r="C18" s="1007"/>
      <c r="D18" s="1007"/>
      <c r="E18" s="1007"/>
      <c r="F18" s="1007"/>
      <c r="G18" s="1007"/>
      <c r="H18" s="1007"/>
      <c r="I18" s="1007"/>
      <c r="J18" s="1007"/>
      <c r="K18" s="1007"/>
      <c r="L18" s="1007"/>
      <c r="M18" s="1007"/>
      <c r="N18" s="1007"/>
      <c r="O18" s="1007"/>
      <c r="P18" s="1007"/>
      <c r="Q18" s="1007"/>
      <c r="R18" s="1007"/>
      <c r="S18" s="1007"/>
      <c r="T18" s="1007"/>
      <c r="U18" s="1007"/>
      <c r="V18" s="1007"/>
      <c r="W18" s="1007"/>
      <c r="X18" s="1007"/>
      <c r="Y18" s="1007"/>
      <c r="Z18" s="1007"/>
      <c r="AA18" s="1007"/>
    </row>
    <row r="19" spans="1:28" s="12" customFormat="1" ht="28.9" customHeight="1" x14ac:dyDescent="0.2">
      <c r="A19" s="966" t="s">
        <v>156</v>
      </c>
      <c r="B19" s="966" t="s">
        <v>282</v>
      </c>
      <c r="C19" s="966" t="s">
        <v>157</v>
      </c>
      <c r="D19" s="966" t="s">
        <v>158</v>
      </c>
      <c r="E19" s="969" t="s">
        <v>337</v>
      </c>
      <c r="F19" s="970"/>
      <c r="G19" s="969" t="s">
        <v>277</v>
      </c>
      <c r="H19" s="970"/>
      <c r="I19" s="969" t="s">
        <v>159</v>
      </c>
      <c r="J19" s="970"/>
      <c r="K19" s="976" t="s">
        <v>717</v>
      </c>
      <c r="L19" s="977"/>
      <c r="M19" s="977"/>
      <c r="N19" s="977"/>
      <c r="O19" s="978"/>
      <c r="P19" s="966" t="s">
        <v>250</v>
      </c>
      <c r="Q19" s="966" t="s">
        <v>630</v>
      </c>
      <c r="R19" s="969" t="s">
        <v>718</v>
      </c>
      <c r="S19" s="970"/>
      <c r="T19" s="969" t="s">
        <v>719</v>
      </c>
      <c r="U19" s="970"/>
      <c r="V19" s="982" t="s">
        <v>719</v>
      </c>
      <c r="W19" s="982"/>
      <c r="X19" s="982"/>
      <c r="Y19" s="982"/>
      <c r="Z19" s="982"/>
      <c r="AA19" s="982"/>
    </row>
    <row r="20" spans="1:28" s="12" customFormat="1" ht="14.45" customHeight="1" x14ac:dyDescent="0.2">
      <c r="A20" s="967"/>
      <c r="B20" s="967"/>
      <c r="C20" s="967"/>
      <c r="D20" s="967"/>
      <c r="E20" s="971"/>
      <c r="F20" s="972"/>
      <c r="G20" s="971"/>
      <c r="H20" s="972"/>
      <c r="I20" s="971"/>
      <c r="J20" s="972"/>
      <c r="K20" s="976" t="s">
        <v>160</v>
      </c>
      <c r="L20" s="977"/>
      <c r="M20" s="978"/>
      <c r="N20" s="969" t="s">
        <v>631</v>
      </c>
      <c r="O20" s="970"/>
      <c r="P20" s="967"/>
      <c r="Q20" s="967"/>
      <c r="R20" s="971"/>
      <c r="S20" s="972"/>
      <c r="T20" s="971"/>
      <c r="U20" s="972"/>
      <c r="V20" s="982"/>
      <c r="W20" s="982"/>
      <c r="X20" s="982"/>
      <c r="Y20" s="982"/>
      <c r="Z20" s="982"/>
      <c r="AA20" s="982"/>
    </row>
    <row r="21" spans="1:28" s="12" customFormat="1" ht="20.25" customHeight="1" x14ac:dyDescent="0.2">
      <c r="A21" s="967"/>
      <c r="B21" s="967"/>
      <c r="C21" s="967"/>
      <c r="D21" s="967"/>
      <c r="E21" s="973"/>
      <c r="F21" s="974"/>
      <c r="G21" s="973"/>
      <c r="H21" s="974"/>
      <c r="I21" s="973"/>
      <c r="J21" s="974"/>
      <c r="K21" s="979" t="s">
        <v>161</v>
      </c>
      <c r="L21" s="976" t="s">
        <v>247</v>
      </c>
      <c r="M21" s="978"/>
      <c r="N21" s="973"/>
      <c r="O21" s="974"/>
      <c r="P21" s="975"/>
      <c r="Q21" s="975"/>
      <c r="R21" s="973"/>
      <c r="S21" s="974"/>
      <c r="T21" s="973"/>
      <c r="U21" s="974"/>
      <c r="V21" s="982" t="s">
        <v>587</v>
      </c>
      <c r="W21" s="982"/>
      <c r="X21" s="982" t="s">
        <v>588</v>
      </c>
      <c r="Y21" s="982"/>
      <c r="Z21" s="982" t="s">
        <v>589</v>
      </c>
      <c r="AA21" s="982"/>
    </row>
    <row r="22" spans="1:28" s="12" customFormat="1" ht="21" x14ac:dyDescent="0.2">
      <c r="A22" s="968"/>
      <c r="B22" s="968"/>
      <c r="C22" s="968"/>
      <c r="D22" s="968"/>
      <c r="E22" s="160" t="s">
        <v>161</v>
      </c>
      <c r="F22" s="130" t="s">
        <v>162</v>
      </c>
      <c r="G22" s="15" t="s">
        <v>161</v>
      </c>
      <c r="H22" s="16" t="s">
        <v>162</v>
      </c>
      <c r="I22" s="160" t="s">
        <v>161</v>
      </c>
      <c r="J22" s="130" t="s">
        <v>162</v>
      </c>
      <c r="K22" s="980"/>
      <c r="L22" s="160" t="s">
        <v>161</v>
      </c>
      <c r="M22" s="130" t="s">
        <v>162</v>
      </c>
      <c r="N22" s="160" t="s">
        <v>161</v>
      </c>
      <c r="O22" s="130" t="s">
        <v>162</v>
      </c>
      <c r="P22" s="16" t="s">
        <v>162</v>
      </c>
      <c r="Q22" s="16" t="s">
        <v>162</v>
      </c>
      <c r="R22" s="15" t="s">
        <v>161</v>
      </c>
      <c r="S22" s="16" t="s">
        <v>162</v>
      </c>
      <c r="T22" s="78" t="s">
        <v>161</v>
      </c>
      <c r="U22" s="79" t="s">
        <v>162</v>
      </c>
      <c r="V22" s="227" t="s">
        <v>161</v>
      </c>
      <c r="W22" s="218" t="s">
        <v>162</v>
      </c>
      <c r="X22" s="227" t="s">
        <v>161</v>
      </c>
      <c r="Y22" s="218" t="s">
        <v>162</v>
      </c>
      <c r="Z22" s="227" t="s">
        <v>161</v>
      </c>
      <c r="AA22" s="218" t="s">
        <v>162</v>
      </c>
    </row>
    <row r="23" spans="1:28" x14ac:dyDescent="0.25">
      <c r="A23" s="908" t="s">
        <v>199</v>
      </c>
      <c r="B23" s="144"/>
      <c r="C23" s="113">
        <v>30613581.98</v>
      </c>
      <c r="D23" s="3" t="s">
        <v>252</v>
      </c>
      <c r="E23" s="56"/>
      <c r="F23" s="56"/>
      <c r="G23" s="137"/>
      <c r="H23" s="137"/>
      <c r="I23" s="56"/>
      <c r="J23" s="56"/>
      <c r="K23" s="56"/>
      <c r="L23" s="56"/>
      <c r="M23" s="56"/>
      <c r="N23" s="56"/>
      <c r="O23" s="56"/>
      <c r="P23" s="56"/>
      <c r="Q23" s="137"/>
      <c r="R23" s="137"/>
      <c r="S23" s="137"/>
      <c r="T23" s="340">
        <v>4</v>
      </c>
      <c r="U23" s="342">
        <v>25170120.109999999</v>
      </c>
      <c r="V23" s="342">
        <v>0</v>
      </c>
      <c r="W23" s="342">
        <v>0</v>
      </c>
      <c r="X23" s="342">
        <v>0</v>
      </c>
      <c r="Y23" s="342">
        <v>0</v>
      </c>
      <c r="Z23" s="342">
        <v>1</v>
      </c>
      <c r="AA23" s="342">
        <v>25170120.109999999</v>
      </c>
      <c r="AB23" s="12"/>
    </row>
    <row r="24" spans="1:28" s="23" customFormat="1" ht="22.5" customHeight="1" x14ac:dyDescent="0.25">
      <c r="A24" s="910"/>
      <c r="B24" s="58">
        <v>63725</v>
      </c>
      <c r="C24" s="37">
        <v>16218739</v>
      </c>
      <c r="D24" s="3" t="s">
        <v>253</v>
      </c>
      <c r="E24" s="27">
        <v>1</v>
      </c>
      <c r="F24" s="37">
        <v>16218739</v>
      </c>
      <c r="G24" s="49">
        <v>0</v>
      </c>
      <c r="H24" s="49">
        <v>0</v>
      </c>
      <c r="I24" s="27">
        <v>1</v>
      </c>
      <c r="J24" s="37">
        <v>16218739</v>
      </c>
      <c r="K24" s="27">
        <v>1</v>
      </c>
      <c r="L24" s="22">
        <v>1</v>
      </c>
      <c r="M24" s="37">
        <v>16218739</v>
      </c>
      <c r="N24" s="25">
        <v>0</v>
      </c>
      <c r="O24" s="25">
        <v>0</v>
      </c>
      <c r="P24" s="22">
        <f>J24-M24</f>
        <v>0</v>
      </c>
      <c r="Q24" s="73">
        <v>0</v>
      </c>
      <c r="R24" s="27">
        <v>2</v>
      </c>
      <c r="S24" s="317">
        <v>14222685.5</v>
      </c>
      <c r="T24" s="317">
        <v>1</v>
      </c>
      <c r="U24" s="11">
        <v>8109369.5</v>
      </c>
      <c r="V24" s="11">
        <v>1</v>
      </c>
      <c r="W24" s="11">
        <v>8109369.5</v>
      </c>
      <c r="X24" s="11">
        <v>0</v>
      </c>
      <c r="Y24" s="11">
        <v>0</v>
      </c>
      <c r="Z24" s="11">
        <v>0</v>
      </c>
      <c r="AA24" s="11">
        <v>0</v>
      </c>
      <c r="AB24" s="12"/>
    </row>
    <row r="25" spans="1:28" x14ac:dyDescent="0.25">
      <c r="A25" s="19" t="s">
        <v>200</v>
      </c>
      <c r="B25" s="150"/>
      <c r="C25" s="20">
        <f>C23+C24</f>
        <v>46832320.980000004</v>
      </c>
      <c r="D25" s="20"/>
      <c r="E25" s="20">
        <f t="shared" ref="E25:Q25" si="4">SUM(E24:E24)</f>
        <v>1</v>
      </c>
      <c r="F25" s="20">
        <f t="shared" si="4"/>
        <v>16218739</v>
      </c>
      <c r="G25" s="20">
        <f t="shared" si="4"/>
        <v>0</v>
      </c>
      <c r="H25" s="20">
        <f t="shared" si="4"/>
        <v>0</v>
      </c>
      <c r="I25" s="20">
        <f t="shared" si="4"/>
        <v>1</v>
      </c>
      <c r="J25" s="20">
        <f t="shared" si="4"/>
        <v>16218739</v>
      </c>
      <c r="K25" s="20">
        <f t="shared" si="4"/>
        <v>1</v>
      </c>
      <c r="L25" s="20">
        <f t="shared" si="4"/>
        <v>1</v>
      </c>
      <c r="M25" s="20">
        <f t="shared" si="4"/>
        <v>16218739</v>
      </c>
      <c r="N25" s="20">
        <f t="shared" si="4"/>
        <v>0</v>
      </c>
      <c r="O25" s="20">
        <f t="shared" si="4"/>
        <v>0</v>
      </c>
      <c r="P25" s="20">
        <f t="shared" si="4"/>
        <v>0</v>
      </c>
      <c r="Q25" s="20">
        <f t="shared" si="4"/>
        <v>0</v>
      </c>
      <c r="R25" s="20">
        <f>SUM(R23:R24)</f>
        <v>2</v>
      </c>
      <c r="S25" s="20">
        <f>SUM(S23:S24)</f>
        <v>14222685.5</v>
      </c>
      <c r="T25" s="20">
        <f>SUM(T23:T24)</f>
        <v>5</v>
      </c>
      <c r="U25" s="20">
        <f>SUM(U23:U24)</f>
        <v>33279489.609999999</v>
      </c>
      <c r="V25" s="20">
        <f t="shared" ref="V25:AA25" si="5">SUM(V23:V24)</f>
        <v>1</v>
      </c>
      <c r="W25" s="20">
        <f t="shared" si="5"/>
        <v>8109369.5</v>
      </c>
      <c r="X25" s="20">
        <f t="shared" si="5"/>
        <v>0</v>
      </c>
      <c r="Y25" s="20">
        <f t="shared" si="5"/>
        <v>0</v>
      </c>
      <c r="Z25" s="20">
        <f t="shared" si="5"/>
        <v>1</v>
      </c>
      <c r="AA25" s="20">
        <f t="shared" si="5"/>
        <v>25170120.109999999</v>
      </c>
      <c r="AB25" s="12"/>
    </row>
    <row r="26" spans="1:28" ht="15" customHeight="1" x14ac:dyDescent="0.25">
      <c r="A26" s="161" t="s">
        <v>390</v>
      </c>
      <c r="B26" s="140"/>
      <c r="C26" s="140"/>
      <c r="D26" s="140"/>
      <c r="E26" s="140"/>
      <c r="F26" s="140"/>
      <c r="G26" s="140"/>
      <c r="H26" s="140"/>
      <c r="I26" s="140"/>
      <c r="J26" s="140"/>
      <c r="K26" s="140"/>
      <c r="L26" s="140"/>
      <c r="M26" s="140"/>
      <c r="N26" s="140"/>
      <c r="O26" s="140"/>
      <c r="P26" s="140"/>
      <c r="Q26" s="140"/>
      <c r="R26" s="140"/>
      <c r="S26" s="756"/>
      <c r="V26"/>
      <c r="AB26" s="12"/>
    </row>
    <row r="27" spans="1:28" ht="15.6" customHeight="1" x14ac:dyDescent="0.25">
      <c r="A27" s="981" t="s">
        <v>732</v>
      </c>
      <c r="B27" s="981"/>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12"/>
    </row>
    <row r="28" spans="1:28" ht="22.15" customHeight="1" x14ac:dyDescent="0.25">
      <c r="A28" s="1008" t="s">
        <v>481</v>
      </c>
      <c r="B28" s="1008"/>
      <c r="C28" s="1008"/>
      <c r="D28" s="1008"/>
      <c r="E28" s="1008"/>
      <c r="F28" s="1008"/>
      <c r="G28" s="1008"/>
      <c r="H28" s="1008"/>
      <c r="I28" s="1008"/>
      <c r="J28" s="1008"/>
      <c r="K28" s="1008"/>
      <c r="L28" s="1008"/>
      <c r="M28" s="1008"/>
      <c r="N28" s="1008"/>
      <c r="O28" s="1008"/>
      <c r="P28" s="1008"/>
      <c r="Q28" s="1008"/>
      <c r="R28" s="1008"/>
      <c r="S28" s="1008"/>
      <c r="T28" s="1008"/>
      <c r="U28" s="1008"/>
      <c r="AB28" s="12"/>
    </row>
    <row r="29" spans="1:28" s="12" customFormat="1" ht="28.9" customHeight="1" x14ac:dyDescent="0.2">
      <c r="A29" s="966" t="s">
        <v>156</v>
      </c>
      <c r="B29" s="966" t="s">
        <v>282</v>
      </c>
      <c r="C29" s="966" t="s">
        <v>157</v>
      </c>
      <c r="D29" s="966" t="s">
        <v>158</v>
      </c>
      <c r="E29" s="969" t="s">
        <v>337</v>
      </c>
      <c r="F29" s="970"/>
      <c r="G29" s="969" t="s">
        <v>277</v>
      </c>
      <c r="H29" s="970"/>
      <c r="I29" s="969" t="s">
        <v>159</v>
      </c>
      <c r="J29" s="970"/>
      <c r="K29" s="976" t="s">
        <v>717</v>
      </c>
      <c r="L29" s="977"/>
      <c r="M29" s="977"/>
      <c r="N29" s="977"/>
      <c r="O29" s="978"/>
      <c r="P29" s="966" t="s">
        <v>250</v>
      </c>
      <c r="Q29" s="966" t="s">
        <v>630</v>
      </c>
      <c r="R29" s="969" t="s">
        <v>718</v>
      </c>
      <c r="S29" s="970"/>
      <c r="T29" s="969" t="s">
        <v>719</v>
      </c>
      <c r="U29" s="970"/>
      <c r="V29" s="982" t="s">
        <v>719</v>
      </c>
      <c r="W29" s="982"/>
      <c r="X29" s="982"/>
      <c r="Y29" s="982"/>
      <c r="Z29" s="982"/>
      <c r="AA29" s="982"/>
    </row>
    <row r="30" spans="1:28" s="12" customFormat="1" ht="14.45" customHeight="1" x14ac:dyDescent="0.2">
      <c r="A30" s="967"/>
      <c r="B30" s="967"/>
      <c r="C30" s="967"/>
      <c r="D30" s="967"/>
      <c r="E30" s="971"/>
      <c r="F30" s="972"/>
      <c r="G30" s="971"/>
      <c r="H30" s="972"/>
      <c r="I30" s="971"/>
      <c r="J30" s="972"/>
      <c r="K30" s="976" t="s">
        <v>160</v>
      </c>
      <c r="L30" s="977"/>
      <c r="M30" s="978"/>
      <c r="N30" s="969" t="s">
        <v>631</v>
      </c>
      <c r="O30" s="970"/>
      <c r="P30" s="967"/>
      <c r="Q30" s="967"/>
      <c r="R30" s="971"/>
      <c r="S30" s="972"/>
      <c r="T30" s="971"/>
      <c r="U30" s="972"/>
      <c r="V30" s="982"/>
      <c r="W30" s="982"/>
      <c r="X30" s="982"/>
      <c r="Y30" s="982"/>
      <c r="Z30" s="982"/>
      <c r="AA30" s="982"/>
    </row>
    <row r="31" spans="1:28" s="12" customFormat="1" ht="20.25" customHeight="1" x14ac:dyDescent="0.2">
      <c r="A31" s="967"/>
      <c r="B31" s="967"/>
      <c r="C31" s="967"/>
      <c r="D31" s="967"/>
      <c r="E31" s="973"/>
      <c r="F31" s="974"/>
      <c r="G31" s="973"/>
      <c r="H31" s="974"/>
      <c r="I31" s="973"/>
      <c r="J31" s="974"/>
      <c r="K31" s="979" t="s">
        <v>161</v>
      </c>
      <c r="L31" s="976" t="s">
        <v>247</v>
      </c>
      <c r="M31" s="978"/>
      <c r="N31" s="973"/>
      <c r="O31" s="974"/>
      <c r="P31" s="975"/>
      <c r="Q31" s="975"/>
      <c r="R31" s="973"/>
      <c r="S31" s="974"/>
      <c r="T31" s="973"/>
      <c r="U31" s="974"/>
      <c r="V31" s="982" t="s">
        <v>587</v>
      </c>
      <c r="W31" s="982"/>
      <c r="X31" s="982" t="s">
        <v>588</v>
      </c>
      <c r="Y31" s="982"/>
      <c r="Z31" s="982" t="s">
        <v>589</v>
      </c>
      <c r="AA31" s="982"/>
    </row>
    <row r="32" spans="1:28" s="12" customFormat="1" ht="21" x14ac:dyDescent="0.2">
      <c r="A32" s="968"/>
      <c r="B32" s="968"/>
      <c r="C32" s="968"/>
      <c r="D32" s="968"/>
      <c r="E32" s="160" t="s">
        <v>161</v>
      </c>
      <c r="F32" s="130" t="s">
        <v>162</v>
      </c>
      <c r="G32" s="15" t="s">
        <v>161</v>
      </c>
      <c r="H32" s="16" t="s">
        <v>162</v>
      </c>
      <c r="I32" s="160" t="s">
        <v>161</v>
      </c>
      <c r="J32" s="130" t="s">
        <v>162</v>
      </c>
      <c r="K32" s="980"/>
      <c r="L32" s="160" t="s">
        <v>161</v>
      </c>
      <c r="M32" s="130" t="s">
        <v>162</v>
      </c>
      <c r="N32" s="160" t="s">
        <v>161</v>
      </c>
      <c r="O32" s="130" t="s">
        <v>162</v>
      </c>
      <c r="P32" s="16" t="s">
        <v>162</v>
      </c>
      <c r="Q32" s="16" t="s">
        <v>162</v>
      </c>
      <c r="R32" s="15" t="s">
        <v>161</v>
      </c>
      <c r="S32" s="16" t="s">
        <v>162</v>
      </c>
      <c r="T32" s="78" t="s">
        <v>161</v>
      </c>
      <c r="U32" s="79" t="s">
        <v>162</v>
      </c>
      <c r="V32" s="227" t="s">
        <v>161</v>
      </c>
      <c r="W32" s="218" t="s">
        <v>162</v>
      </c>
      <c r="X32" s="227" t="s">
        <v>161</v>
      </c>
      <c r="Y32" s="218" t="s">
        <v>162</v>
      </c>
      <c r="Z32" s="227" t="s">
        <v>161</v>
      </c>
      <c r="AA32" s="218" t="s">
        <v>162</v>
      </c>
    </row>
    <row r="33" spans="1:27" ht="22.15" customHeight="1" x14ac:dyDescent="0.25">
      <c r="A33" s="1009" t="s">
        <v>483</v>
      </c>
      <c r="B33" s="1010"/>
      <c r="C33" s="1010"/>
      <c r="D33" s="1011"/>
      <c r="E33" s="137"/>
      <c r="F33" s="56"/>
      <c r="G33" s="56"/>
      <c r="H33" s="56"/>
      <c r="I33" s="56"/>
      <c r="J33" s="56"/>
      <c r="K33" s="56"/>
      <c r="L33" s="3">
        <v>1</v>
      </c>
      <c r="M33" s="22">
        <v>3134301.83</v>
      </c>
      <c r="N33" s="56"/>
      <c r="O33" s="56"/>
      <c r="P33" s="56"/>
      <c r="Q33" s="137"/>
      <c r="R33" s="56"/>
      <c r="S33" s="56"/>
      <c r="T33" s="3">
        <v>1</v>
      </c>
      <c r="U33" s="22">
        <v>3134301.83</v>
      </c>
      <c r="V33" s="22">
        <v>0</v>
      </c>
      <c r="W33" s="22">
        <v>0</v>
      </c>
      <c r="X33" s="22">
        <v>0</v>
      </c>
      <c r="Y33" s="22">
        <v>0</v>
      </c>
      <c r="Z33" s="22">
        <v>1</v>
      </c>
      <c r="AA33" s="22">
        <v>3134301.83</v>
      </c>
    </row>
    <row r="34" spans="1:27" x14ac:dyDescent="0.25">
      <c r="A34" s="19" t="s">
        <v>482</v>
      </c>
      <c r="B34" s="150"/>
      <c r="C34" s="20">
        <f>SUM(C33:C33)</f>
        <v>0</v>
      </c>
      <c r="D34" s="20"/>
      <c r="E34" s="20">
        <f>SUM(E33:E33)</f>
        <v>0</v>
      </c>
      <c r="F34" s="20">
        <f>SUM(F33:F33)</f>
        <v>0</v>
      </c>
      <c r="G34" s="20">
        <f>G33</f>
        <v>0</v>
      </c>
      <c r="H34" s="20">
        <f>H33</f>
        <v>0</v>
      </c>
      <c r="I34" s="20">
        <f t="shared" ref="I34:AA34" si="6">SUM(I33:I33)</f>
        <v>0</v>
      </c>
      <c r="J34" s="20">
        <f t="shared" si="6"/>
        <v>0</v>
      </c>
      <c r="K34" s="20">
        <f t="shared" si="6"/>
        <v>0</v>
      </c>
      <c r="L34" s="20">
        <f t="shared" si="6"/>
        <v>1</v>
      </c>
      <c r="M34" s="20">
        <f t="shared" si="6"/>
        <v>3134301.83</v>
      </c>
      <c r="N34" s="20">
        <f t="shared" si="6"/>
        <v>0</v>
      </c>
      <c r="O34" s="20">
        <f t="shared" si="6"/>
        <v>0</v>
      </c>
      <c r="P34" s="20">
        <f t="shared" si="6"/>
        <v>0</v>
      </c>
      <c r="Q34" s="20">
        <f t="shared" si="6"/>
        <v>0</v>
      </c>
      <c r="R34" s="20">
        <f t="shared" si="6"/>
        <v>0</v>
      </c>
      <c r="S34" s="20">
        <f t="shared" si="6"/>
        <v>0</v>
      </c>
      <c r="T34" s="20">
        <f t="shared" si="6"/>
        <v>1</v>
      </c>
      <c r="U34" s="20">
        <f t="shared" si="6"/>
        <v>3134301.83</v>
      </c>
      <c r="V34" s="20">
        <f t="shared" si="6"/>
        <v>0</v>
      </c>
      <c r="W34" s="20">
        <f t="shared" si="6"/>
        <v>0</v>
      </c>
      <c r="X34" s="20">
        <f t="shared" si="6"/>
        <v>0</v>
      </c>
      <c r="Y34" s="20">
        <f t="shared" si="6"/>
        <v>0</v>
      </c>
      <c r="Z34" s="20">
        <f t="shared" si="6"/>
        <v>1</v>
      </c>
      <c r="AA34" s="20">
        <f t="shared" si="6"/>
        <v>3134301.83</v>
      </c>
    </row>
    <row r="36" spans="1:27" ht="11.45" customHeight="1" x14ac:dyDescent="0.25">
      <c r="A36" s="1008" t="s">
        <v>201</v>
      </c>
      <c r="B36" s="1008"/>
      <c r="C36" s="1008"/>
      <c r="D36" s="1008"/>
      <c r="E36" s="1008"/>
      <c r="F36" s="1008"/>
      <c r="G36" s="1008"/>
      <c r="H36" s="1008"/>
      <c r="I36" s="1008"/>
      <c r="J36" s="1008"/>
      <c r="K36" s="1008"/>
      <c r="L36" s="1008"/>
      <c r="M36" s="1008"/>
      <c r="N36" s="1008"/>
      <c r="O36" s="1008"/>
      <c r="P36" s="1008"/>
      <c r="Q36" s="1008"/>
      <c r="R36" s="1008"/>
      <c r="S36" s="1008"/>
      <c r="T36" s="1008"/>
      <c r="U36" s="1008"/>
    </row>
    <row r="37" spans="1:27" s="12" customFormat="1" ht="28.9" customHeight="1" x14ac:dyDescent="0.2">
      <c r="A37" s="966" t="s">
        <v>156</v>
      </c>
      <c r="B37" s="966" t="s">
        <v>282</v>
      </c>
      <c r="C37" s="966" t="s">
        <v>157</v>
      </c>
      <c r="D37" s="966" t="s">
        <v>158</v>
      </c>
      <c r="E37" s="969" t="s">
        <v>337</v>
      </c>
      <c r="F37" s="970"/>
      <c r="G37" s="969" t="s">
        <v>277</v>
      </c>
      <c r="H37" s="970"/>
      <c r="I37" s="969" t="s">
        <v>159</v>
      </c>
      <c r="J37" s="970"/>
      <c r="K37" s="976" t="s">
        <v>717</v>
      </c>
      <c r="L37" s="977"/>
      <c r="M37" s="977"/>
      <c r="N37" s="977"/>
      <c r="O37" s="978"/>
      <c r="P37" s="966" t="s">
        <v>250</v>
      </c>
      <c r="Q37" s="966" t="s">
        <v>630</v>
      </c>
      <c r="R37" s="969" t="s">
        <v>718</v>
      </c>
      <c r="S37" s="970"/>
      <c r="T37" s="969" t="s">
        <v>719</v>
      </c>
      <c r="U37" s="970"/>
      <c r="V37" s="982" t="s">
        <v>719</v>
      </c>
      <c r="W37" s="982"/>
      <c r="X37" s="982"/>
      <c r="Y37" s="982"/>
      <c r="Z37" s="982"/>
      <c r="AA37" s="982"/>
    </row>
    <row r="38" spans="1:27" s="12" customFormat="1" ht="14.45" customHeight="1" x14ac:dyDescent="0.2">
      <c r="A38" s="967"/>
      <c r="B38" s="967"/>
      <c r="C38" s="967"/>
      <c r="D38" s="967"/>
      <c r="E38" s="971"/>
      <c r="F38" s="972"/>
      <c r="G38" s="971"/>
      <c r="H38" s="972"/>
      <c r="I38" s="971"/>
      <c r="J38" s="972"/>
      <c r="K38" s="976" t="s">
        <v>160</v>
      </c>
      <c r="L38" s="977"/>
      <c r="M38" s="978"/>
      <c r="N38" s="969" t="s">
        <v>631</v>
      </c>
      <c r="O38" s="970"/>
      <c r="P38" s="967"/>
      <c r="Q38" s="967"/>
      <c r="R38" s="971"/>
      <c r="S38" s="972"/>
      <c r="T38" s="971"/>
      <c r="U38" s="972"/>
      <c r="V38" s="982"/>
      <c r="W38" s="982"/>
      <c r="X38" s="982"/>
      <c r="Y38" s="982"/>
      <c r="Z38" s="982"/>
      <c r="AA38" s="982"/>
    </row>
    <row r="39" spans="1:27" s="12" customFormat="1" ht="20.25" customHeight="1" x14ac:dyDescent="0.2">
      <c r="A39" s="967"/>
      <c r="B39" s="967"/>
      <c r="C39" s="967"/>
      <c r="D39" s="967"/>
      <c r="E39" s="973"/>
      <c r="F39" s="974"/>
      <c r="G39" s="973"/>
      <c r="H39" s="974"/>
      <c r="I39" s="973"/>
      <c r="J39" s="974"/>
      <c r="K39" s="979" t="s">
        <v>161</v>
      </c>
      <c r="L39" s="976" t="s">
        <v>247</v>
      </c>
      <c r="M39" s="978"/>
      <c r="N39" s="973"/>
      <c r="O39" s="974"/>
      <c r="P39" s="975"/>
      <c r="Q39" s="975"/>
      <c r="R39" s="973"/>
      <c r="S39" s="974"/>
      <c r="T39" s="973"/>
      <c r="U39" s="974"/>
      <c r="V39" s="982" t="s">
        <v>587</v>
      </c>
      <c r="W39" s="982"/>
      <c r="X39" s="982" t="s">
        <v>588</v>
      </c>
      <c r="Y39" s="982"/>
      <c r="Z39" s="982" t="s">
        <v>589</v>
      </c>
      <c r="AA39" s="982"/>
    </row>
    <row r="40" spans="1:27" s="12" customFormat="1" ht="21" x14ac:dyDescent="0.2">
      <c r="A40" s="968"/>
      <c r="B40" s="968"/>
      <c r="C40" s="968"/>
      <c r="D40" s="968"/>
      <c r="E40" s="160" t="s">
        <v>161</v>
      </c>
      <c r="F40" s="130" t="s">
        <v>162</v>
      </c>
      <c r="G40" s="15" t="s">
        <v>161</v>
      </c>
      <c r="H40" s="16" t="s">
        <v>162</v>
      </c>
      <c r="I40" s="160" t="s">
        <v>161</v>
      </c>
      <c r="J40" s="130" t="s">
        <v>162</v>
      </c>
      <c r="K40" s="980"/>
      <c r="L40" s="160" t="s">
        <v>161</v>
      </c>
      <c r="M40" s="130" t="s">
        <v>162</v>
      </c>
      <c r="N40" s="160" t="s">
        <v>161</v>
      </c>
      <c r="O40" s="130" t="s">
        <v>162</v>
      </c>
      <c r="P40" s="16" t="s">
        <v>162</v>
      </c>
      <c r="Q40" s="16" t="s">
        <v>162</v>
      </c>
      <c r="R40" s="15" t="s">
        <v>161</v>
      </c>
      <c r="S40" s="16" t="s">
        <v>162</v>
      </c>
      <c r="T40" s="78" t="s">
        <v>161</v>
      </c>
      <c r="U40" s="79" t="s">
        <v>162</v>
      </c>
      <c r="V40" s="227" t="s">
        <v>161</v>
      </c>
      <c r="W40" s="218" t="s">
        <v>162</v>
      </c>
      <c r="X40" s="227" t="s">
        <v>161</v>
      </c>
      <c r="Y40" s="218" t="s">
        <v>162</v>
      </c>
      <c r="Z40" s="227" t="s">
        <v>161</v>
      </c>
      <c r="AA40" s="218" t="s">
        <v>162</v>
      </c>
    </row>
    <row r="41" spans="1:27" s="23" customFormat="1" ht="33.75" x14ac:dyDescent="0.25">
      <c r="A41" s="3" t="s">
        <v>202</v>
      </c>
      <c r="B41" s="132">
        <v>22581</v>
      </c>
      <c r="C41" s="36">
        <v>736791</v>
      </c>
      <c r="D41" s="17">
        <v>43585</v>
      </c>
      <c r="E41" s="22">
        <v>19</v>
      </c>
      <c r="F41" s="33">
        <v>2890766.04</v>
      </c>
      <c r="G41" s="22">
        <v>0</v>
      </c>
      <c r="H41" s="22">
        <v>0</v>
      </c>
      <c r="I41" s="366">
        <v>3</v>
      </c>
      <c r="J41" s="422">
        <v>564394.27</v>
      </c>
      <c r="K41" s="25">
        <v>4</v>
      </c>
      <c r="L41" s="22">
        <v>4</v>
      </c>
      <c r="M41" s="22">
        <v>760643.24</v>
      </c>
      <c r="N41" s="25">
        <v>11</v>
      </c>
      <c r="O41" s="25">
        <v>1506428.0499999998</v>
      </c>
      <c r="P41" s="22">
        <f>J41-M41</f>
        <v>-196248.96999999997</v>
      </c>
      <c r="Q41" s="73">
        <v>0</v>
      </c>
      <c r="R41" s="22">
        <v>2</v>
      </c>
      <c r="S41" s="22">
        <v>269770.02</v>
      </c>
      <c r="T41" s="22">
        <v>1</v>
      </c>
      <c r="U41" s="22">
        <v>94624.25</v>
      </c>
      <c r="V41" s="22">
        <v>1</v>
      </c>
      <c r="W41" s="22">
        <v>94624.25</v>
      </c>
      <c r="X41" s="22">
        <v>0</v>
      </c>
      <c r="Y41" s="22">
        <v>0</v>
      </c>
      <c r="Z41" s="22">
        <v>0</v>
      </c>
      <c r="AA41" s="22">
        <v>0</v>
      </c>
    </row>
    <row r="42" spans="1:27" x14ac:dyDescent="0.25">
      <c r="A42" s="19" t="s">
        <v>203</v>
      </c>
      <c r="B42" s="150"/>
      <c r="C42" s="20">
        <f>SUM(C41:C41)</f>
        <v>736791</v>
      </c>
      <c r="D42" s="20"/>
      <c r="E42" s="20">
        <f t="shared" ref="E42:U42" si="7">SUM(E41:E41)</f>
        <v>19</v>
      </c>
      <c r="F42" s="20">
        <f t="shared" si="7"/>
        <v>2890766.04</v>
      </c>
      <c r="G42" s="20">
        <f>G41</f>
        <v>0</v>
      </c>
      <c r="H42" s="20">
        <f>H41</f>
        <v>0</v>
      </c>
      <c r="I42" s="20">
        <f t="shared" si="7"/>
        <v>3</v>
      </c>
      <c r="J42" s="20">
        <f t="shared" si="7"/>
        <v>564394.27</v>
      </c>
      <c r="K42" s="20">
        <f t="shared" si="7"/>
        <v>4</v>
      </c>
      <c r="L42" s="20">
        <f t="shared" si="7"/>
        <v>4</v>
      </c>
      <c r="M42" s="20">
        <f t="shared" si="7"/>
        <v>760643.24</v>
      </c>
      <c r="N42" s="20">
        <f t="shared" si="7"/>
        <v>11</v>
      </c>
      <c r="O42" s="20">
        <f t="shared" si="7"/>
        <v>1506428.0499999998</v>
      </c>
      <c r="P42" s="20">
        <f t="shared" si="7"/>
        <v>-196248.96999999997</v>
      </c>
      <c r="Q42" s="20">
        <f t="shared" si="7"/>
        <v>0</v>
      </c>
      <c r="R42" s="20">
        <f t="shared" si="7"/>
        <v>2</v>
      </c>
      <c r="S42" s="20">
        <f t="shared" si="7"/>
        <v>269770.02</v>
      </c>
      <c r="T42" s="20">
        <f t="shared" si="7"/>
        <v>1</v>
      </c>
      <c r="U42" s="20">
        <f t="shared" si="7"/>
        <v>94624.25</v>
      </c>
      <c r="V42" s="20">
        <f t="shared" ref="V42:AA42" si="8">SUM(V41:V41)</f>
        <v>1</v>
      </c>
      <c r="W42" s="20">
        <f t="shared" si="8"/>
        <v>94624.25</v>
      </c>
      <c r="X42" s="20">
        <f t="shared" si="8"/>
        <v>0</v>
      </c>
      <c r="Y42" s="20">
        <f t="shared" si="8"/>
        <v>0</v>
      </c>
      <c r="Z42" s="20">
        <f t="shared" si="8"/>
        <v>0</v>
      </c>
      <c r="AA42" s="20">
        <f t="shared" si="8"/>
        <v>0</v>
      </c>
    </row>
    <row r="43" spans="1:27" x14ac:dyDescent="0.25">
      <c r="A43" s="161" t="s">
        <v>397</v>
      </c>
      <c r="B43"/>
    </row>
    <row r="44" spans="1:27" ht="9" customHeight="1" x14ac:dyDescent="0.25"/>
    <row r="45" spans="1:27" ht="25.15" customHeight="1" x14ac:dyDescent="0.25">
      <c r="A45" s="1008" t="s">
        <v>204</v>
      </c>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row>
    <row r="46" spans="1:27" s="12" customFormat="1" ht="28.9" customHeight="1" x14ac:dyDescent="0.2">
      <c r="A46" s="966" t="s">
        <v>156</v>
      </c>
      <c r="B46" s="966" t="s">
        <v>282</v>
      </c>
      <c r="C46" s="966" t="s">
        <v>157</v>
      </c>
      <c r="D46" s="966" t="s">
        <v>158</v>
      </c>
      <c r="E46" s="969" t="s">
        <v>337</v>
      </c>
      <c r="F46" s="970"/>
      <c r="G46" s="969" t="s">
        <v>277</v>
      </c>
      <c r="H46" s="970"/>
      <c r="I46" s="969" t="s">
        <v>159</v>
      </c>
      <c r="J46" s="970"/>
      <c r="K46" s="976" t="s">
        <v>717</v>
      </c>
      <c r="L46" s="977"/>
      <c r="M46" s="977"/>
      <c r="N46" s="977"/>
      <c r="O46" s="978"/>
      <c r="P46" s="966" t="s">
        <v>250</v>
      </c>
      <c r="Q46" s="966" t="s">
        <v>630</v>
      </c>
      <c r="R46" s="969" t="s">
        <v>718</v>
      </c>
      <c r="S46" s="970"/>
      <c r="T46" s="969" t="s">
        <v>719</v>
      </c>
      <c r="U46" s="970"/>
      <c r="V46" s="982" t="s">
        <v>719</v>
      </c>
      <c r="W46" s="982"/>
      <c r="X46" s="982"/>
      <c r="Y46" s="982"/>
      <c r="Z46" s="982"/>
      <c r="AA46" s="982"/>
    </row>
    <row r="47" spans="1:27" s="12" customFormat="1" ht="14.45" customHeight="1" x14ac:dyDescent="0.2">
      <c r="A47" s="967"/>
      <c r="B47" s="967"/>
      <c r="C47" s="967"/>
      <c r="D47" s="967"/>
      <c r="E47" s="971"/>
      <c r="F47" s="972"/>
      <c r="G47" s="971"/>
      <c r="H47" s="972"/>
      <c r="I47" s="971"/>
      <c r="J47" s="972"/>
      <c r="K47" s="976" t="s">
        <v>160</v>
      </c>
      <c r="L47" s="977"/>
      <c r="M47" s="978"/>
      <c r="N47" s="969" t="s">
        <v>631</v>
      </c>
      <c r="O47" s="970"/>
      <c r="P47" s="967"/>
      <c r="Q47" s="967"/>
      <c r="R47" s="971"/>
      <c r="S47" s="972"/>
      <c r="T47" s="971"/>
      <c r="U47" s="972"/>
      <c r="V47" s="982"/>
      <c r="W47" s="982"/>
      <c r="X47" s="982"/>
      <c r="Y47" s="982"/>
      <c r="Z47" s="982"/>
      <c r="AA47" s="982"/>
    </row>
    <row r="48" spans="1:27" s="12" customFormat="1" ht="20.25" customHeight="1" x14ac:dyDescent="0.2">
      <c r="A48" s="967"/>
      <c r="B48" s="967"/>
      <c r="C48" s="967"/>
      <c r="D48" s="967"/>
      <c r="E48" s="973"/>
      <c r="F48" s="974"/>
      <c r="G48" s="973"/>
      <c r="H48" s="974"/>
      <c r="I48" s="973"/>
      <c r="J48" s="974"/>
      <c r="K48" s="979" t="s">
        <v>161</v>
      </c>
      <c r="L48" s="976" t="s">
        <v>247</v>
      </c>
      <c r="M48" s="978"/>
      <c r="N48" s="973"/>
      <c r="O48" s="974"/>
      <c r="P48" s="975"/>
      <c r="Q48" s="975"/>
      <c r="R48" s="973"/>
      <c r="S48" s="974"/>
      <c r="T48" s="973"/>
      <c r="U48" s="974"/>
      <c r="V48" s="982" t="s">
        <v>587</v>
      </c>
      <c r="W48" s="982"/>
      <c r="X48" s="982" t="s">
        <v>588</v>
      </c>
      <c r="Y48" s="982"/>
      <c r="Z48" s="982" t="s">
        <v>589</v>
      </c>
      <c r="AA48" s="982"/>
    </row>
    <row r="49" spans="1:27" s="12" customFormat="1" ht="21" x14ac:dyDescent="0.2">
      <c r="A49" s="968"/>
      <c r="B49" s="968"/>
      <c r="C49" s="968"/>
      <c r="D49" s="968"/>
      <c r="E49" s="160" t="s">
        <v>161</v>
      </c>
      <c r="F49" s="130" t="s">
        <v>162</v>
      </c>
      <c r="G49" s="15" t="s">
        <v>161</v>
      </c>
      <c r="H49" s="16" t="s">
        <v>162</v>
      </c>
      <c r="I49" s="160" t="s">
        <v>161</v>
      </c>
      <c r="J49" s="130" t="s">
        <v>162</v>
      </c>
      <c r="K49" s="980"/>
      <c r="L49" s="160" t="s">
        <v>161</v>
      </c>
      <c r="M49" s="130" t="s">
        <v>162</v>
      </c>
      <c r="N49" s="160" t="s">
        <v>161</v>
      </c>
      <c r="O49" s="130" t="s">
        <v>162</v>
      </c>
      <c r="P49" s="16" t="s">
        <v>162</v>
      </c>
      <c r="Q49" s="16" t="s">
        <v>162</v>
      </c>
      <c r="R49" s="15" t="s">
        <v>161</v>
      </c>
      <c r="S49" s="16" t="s">
        <v>162</v>
      </c>
      <c r="T49" s="78" t="s">
        <v>161</v>
      </c>
      <c r="U49" s="79" t="s">
        <v>162</v>
      </c>
      <c r="V49" s="227" t="s">
        <v>161</v>
      </c>
      <c r="W49" s="218" t="s">
        <v>162</v>
      </c>
      <c r="X49" s="227" t="s">
        <v>161</v>
      </c>
      <c r="Y49" s="218" t="s">
        <v>162</v>
      </c>
      <c r="Z49" s="227" t="s">
        <v>161</v>
      </c>
      <c r="AA49" s="218" t="s">
        <v>162</v>
      </c>
    </row>
    <row r="50" spans="1:27" s="23" customFormat="1" ht="45" x14ac:dyDescent="0.25">
      <c r="A50" s="35" t="s">
        <v>205</v>
      </c>
      <c r="B50" s="132">
        <v>16161</v>
      </c>
      <c r="C50" s="32">
        <v>3000000</v>
      </c>
      <c r="D50" s="2">
        <v>43361.584016203706</v>
      </c>
      <c r="E50" s="1">
        <v>54</v>
      </c>
      <c r="F50" s="319">
        <v>10258015.290000001</v>
      </c>
      <c r="G50" s="180">
        <v>0</v>
      </c>
      <c r="H50" s="180">
        <v>0</v>
      </c>
      <c r="I50" s="18">
        <v>14</v>
      </c>
      <c r="J50" s="32">
        <f>M50+755421</f>
        <v>1863978.9300000002</v>
      </c>
      <c r="K50" s="195">
        <v>7</v>
      </c>
      <c r="L50" s="195">
        <v>7</v>
      </c>
      <c r="M50" s="217">
        <v>1108557.9300000002</v>
      </c>
      <c r="N50" s="195">
        <v>19</v>
      </c>
      <c r="O50" s="134">
        <v>3689599.76</v>
      </c>
      <c r="P50" s="341">
        <f>J50-M50</f>
        <v>755421</v>
      </c>
      <c r="Q50" s="186">
        <f>C50-J50</f>
        <v>1136021.0699999998</v>
      </c>
      <c r="R50" s="397">
        <v>3</v>
      </c>
      <c r="S50" s="597">
        <v>469424.83999999997</v>
      </c>
      <c r="T50" s="1">
        <v>1</v>
      </c>
      <c r="U50" s="186">
        <v>130927.22</v>
      </c>
      <c r="V50" s="22">
        <v>0</v>
      </c>
      <c r="W50" s="22">
        <v>0</v>
      </c>
      <c r="X50" s="22">
        <v>0</v>
      </c>
      <c r="Y50" s="22">
        <v>0</v>
      </c>
      <c r="Z50" s="1">
        <v>1</v>
      </c>
      <c r="AA50" s="186">
        <v>130927.22</v>
      </c>
    </row>
    <row r="51" spans="1:27" x14ac:dyDescent="0.25">
      <c r="A51" s="19" t="s">
        <v>206</v>
      </c>
      <c r="B51" s="150"/>
      <c r="C51" s="20">
        <f>SUM(C50:C50)</f>
        <v>3000000</v>
      </c>
      <c r="D51" s="20"/>
      <c r="E51" s="20">
        <f t="shared" ref="E51:AA51" si="9">SUM(E50:E50)</f>
        <v>54</v>
      </c>
      <c r="F51" s="20">
        <f t="shared" si="9"/>
        <v>10258015.290000001</v>
      </c>
      <c r="G51" s="20">
        <f t="shared" si="9"/>
        <v>0</v>
      </c>
      <c r="H51" s="20">
        <f t="shared" si="9"/>
        <v>0</v>
      </c>
      <c r="I51" s="20">
        <f t="shared" si="9"/>
        <v>14</v>
      </c>
      <c r="J51" s="20">
        <f t="shared" si="9"/>
        <v>1863978.9300000002</v>
      </c>
      <c r="K51" s="20">
        <f t="shared" si="9"/>
        <v>7</v>
      </c>
      <c r="L51" s="20">
        <f t="shared" si="9"/>
        <v>7</v>
      </c>
      <c r="M51" s="20">
        <f t="shared" si="9"/>
        <v>1108557.9300000002</v>
      </c>
      <c r="N51" s="20">
        <f t="shared" si="9"/>
        <v>19</v>
      </c>
      <c r="O51" s="20">
        <f t="shared" si="9"/>
        <v>3689599.76</v>
      </c>
      <c r="P51" s="20">
        <f t="shared" si="9"/>
        <v>755421</v>
      </c>
      <c r="Q51" s="20">
        <f t="shared" si="9"/>
        <v>1136021.0699999998</v>
      </c>
      <c r="R51" s="20">
        <f t="shared" si="9"/>
        <v>3</v>
      </c>
      <c r="S51" s="20">
        <f t="shared" si="9"/>
        <v>469424.83999999997</v>
      </c>
      <c r="T51" s="20">
        <f t="shared" si="9"/>
        <v>1</v>
      </c>
      <c r="U51" s="20">
        <f t="shared" si="9"/>
        <v>130927.22</v>
      </c>
      <c r="V51" s="20">
        <f t="shared" si="9"/>
        <v>0</v>
      </c>
      <c r="W51" s="20">
        <f t="shared" si="9"/>
        <v>0</v>
      </c>
      <c r="X51" s="20">
        <f t="shared" si="9"/>
        <v>0</v>
      </c>
      <c r="Y51" s="20">
        <f t="shared" si="9"/>
        <v>0</v>
      </c>
      <c r="Z51" s="20">
        <f t="shared" si="9"/>
        <v>1</v>
      </c>
      <c r="AA51" s="20">
        <f t="shared" si="9"/>
        <v>130927.22</v>
      </c>
    </row>
    <row r="52" spans="1:27" ht="15" customHeight="1" x14ac:dyDescent="0.25">
      <c r="A52" s="161" t="s">
        <v>390</v>
      </c>
      <c r="B52" s="140"/>
      <c r="C52" s="140"/>
      <c r="D52" s="140"/>
      <c r="E52" s="140"/>
      <c r="F52" s="140"/>
      <c r="G52" s="140"/>
      <c r="H52" s="140"/>
      <c r="I52" s="140"/>
      <c r="J52" s="140"/>
      <c r="K52" s="140"/>
      <c r="L52" s="140"/>
      <c r="M52" s="140"/>
      <c r="N52" s="140"/>
      <c r="O52" s="140"/>
      <c r="P52" s="140"/>
      <c r="Q52" s="140"/>
      <c r="R52" s="140"/>
      <c r="S52" s="140"/>
      <c r="V52"/>
    </row>
    <row r="53" spans="1:27" s="23" customFormat="1" ht="24" customHeight="1" x14ac:dyDescent="0.25">
      <c r="A53" s="981" t="s">
        <v>732</v>
      </c>
      <c r="B53" s="981"/>
      <c r="C53" s="981"/>
      <c r="D53" s="981"/>
      <c r="E53" s="981"/>
      <c r="F53" s="981"/>
      <c r="G53" s="981"/>
      <c r="H53" s="981"/>
      <c r="I53" s="981"/>
      <c r="J53" s="981"/>
      <c r="K53" s="981"/>
      <c r="L53" s="981"/>
      <c r="M53" s="981"/>
      <c r="N53" s="981"/>
      <c r="O53" s="981"/>
      <c r="P53" s="981"/>
      <c r="Q53" s="981"/>
      <c r="R53" s="981"/>
      <c r="S53" s="981"/>
      <c r="T53" s="981"/>
      <c r="U53" s="981"/>
      <c r="V53" s="981"/>
      <c r="W53" s="981"/>
      <c r="X53" s="981"/>
      <c r="Y53" s="981"/>
      <c r="Z53" s="981"/>
      <c r="AA53" s="981"/>
    </row>
    <row r="54" spans="1:27" x14ac:dyDescent="0.25">
      <c r="E54" s="50"/>
      <c r="I54" s="50"/>
    </row>
    <row r="55" spans="1:27" x14ac:dyDescent="0.25">
      <c r="O55" s="418"/>
    </row>
  </sheetData>
  <mergeCells count="131">
    <mergeCell ref="V46:AA47"/>
    <mergeCell ref="V48:W48"/>
    <mergeCell ref="X48:Y48"/>
    <mergeCell ref="Z48:AA48"/>
    <mergeCell ref="V21:W21"/>
    <mergeCell ref="X21:Y21"/>
    <mergeCell ref="Z21:AA21"/>
    <mergeCell ref="V29:AA30"/>
    <mergeCell ref="V31:W31"/>
    <mergeCell ref="X31:Y31"/>
    <mergeCell ref="Z31:AA31"/>
    <mergeCell ref="V37:AA38"/>
    <mergeCell ref="V39:W39"/>
    <mergeCell ref="X39:Y39"/>
    <mergeCell ref="Z39:AA39"/>
    <mergeCell ref="A27:AA27"/>
    <mergeCell ref="A45:AA45"/>
    <mergeCell ref="T46:U48"/>
    <mergeCell ref="K47:M47"/>
    <mergeCell ref="N47:O48"/>
    <mergeCell ref="K48:K49"/>
    <mergeCell ref="L48:M48"/>
    <mergeCell ref="A46:A49"/>
    <mergeCell ref="C46:C49"/>
    <mergeCell ref="B29:B32"/>
    <mergeCell ref="C29:C32"/>
    <mergeCell ref="D29:D32"/>
    <mergeCell ref="A33:D33"/>
    <mergeCell ref="R29:S31"/>
    <mergeCell ref="V2:AA3"/>
    <mergeCell ref="V4:W4"/>
    <mergeCell ref="X4:Y4"/>
    <mergeCell ref="Z4:AA4"/>
    <mergeCell ref="V10:AA11"/>
    <mergeCell ref="V12:W12"/>
    <mergeCell ref="X12:Y12"/>
    <mergeCell ref="Z12:AA12"/>
    <mergeCell ref="V19:AA20"/>
    <mergeCell ref="A18:AA18"/>
    <mergeCell ref="A9:AA9"/>
    <mergeCell ref="A10:A13"/>
    <mergeCell ref="C10:C13"/>
    <mergeCell ref="D10:D13"/>
    <mergeCell ref="E10:F12"/>
    <mergeCell ref="I10:J12"/>
    <mergeCell ref="K10:O10"/>
    <mergeCell ref="P10:P12"/>
    <mergeCell ref="R10:S12"/>
    <mergeCell ref="D46:D49"/>
    <mergeCell ref="E46:F48"/>
    <mergeCell ref="I46:J48"/>
    <mergeCell ref="B46:B49"/>
    <mergeCell ref="K46:O46"/>
    <mergeCell ref="P46:P48"/>
    <mergeCell ref="R46:S48"/>
    <mergeCell ref="G46:H48"/>
    <mergeCell ref="Q46:Q48"/>
    <mergeCell ref="A53:AA53"/>
    <mergeCell ref="C14:C15"/>
    <mergeCell ref="A19:A22"/>
    <mergeCell ref="C19:C22"/>
    <mergeCell ref="D19:D22"/>
    <mergeCell ref="E19:F21"/>
    <mergeCell ref="N20:O21"/>
    <mergeCell ref="K21:K22"/>
    <mergeCell ref="A37:A40"/>
    <mergeCell ref="C37:C40"/>
    <mergeCell ref="T37:U39"/>
    <mergeCell ref="B19:B22"/>
    <mergeCell ref="I19:J21"/>
    <mergeCell ref="K19:O19"/>
    <mergeCell ref="T19:U21"/>
    <mergeCell ref="G19:H21"/>
    <mergeCell ref="L21:M21"/>
    <mergeCell ref="K30:M30"/>
    <mergeCell ref="N30:O31"/>
    <mergeCell ref="K31:K32"/>
    <mergeCell ref="L31:M31"/>
    <mergeCell ref="R37:S39"/>
    <mergeCell ref="P19:P21"/>
    <mergeCell ref="N38:O39"/>
    <mergeCell ref="B2:B5"/>
    <mergeCell ref="G2:H4"/>
    <mergeCell ref="Q2:Q4"/>
    <mergeCell ref="B10:B13"/>
    <mergeCell ref="G10:H12"/>
    <mergeCell ref="Q10:Q12"/>
    <mergeCell ref="R19:S21"/>
    <mergeCell ref="K2:O2"/>
    <mergeCell ref="P2:P4"/>
    <mergeCell ref="K11:M11"/>
    <mergeCell ref="N11:O12"/>
    <mergeCell ref="K12:K13"/>
    <mergeCell ref="L12:M12"/>
    <mergeCell ref="Q19:Q21"/>
    <mergeCell ref="Q29:Q31"/>
    <mergeCell ref="Q37:Q39"/>
    <mergeCell ref="K20:M20"/>
    <mergeCell ref="T29:U31"/>
    <mergeCell ref="K38:M38"/>
    <mergeCell ref="R2:S4"/>
    <mergeCell ref="T2:U4"/>
    <mergeCell ref="K3:M3"/>
    <mergeCell ref="N3:O4"/>
    <mergeCell ref="K4:K5"/>
    <mergeCell ref="L4:M4"/>
    <mergeCell ref="T10:U12"/>
    <mergeCell ref="A1:AA1"/>
    <mergeCell ref="I37:J39"/>
    <mergeCell ref="K37:O37"/>
    <mergeCell ref="E29:F31"/>
    <mergeCell ref="G29:H31"/>
    <mergeCell ref="I29:J31"/>
    <mergeCell ref="K29:O29"/>
    <mergeCell ref="P29:P31"/>
    <mergeCell ref="B37:B40"/>
    <mergeCell ref="A23:A24"/>
    <mergeCell ref="D37:D40"/>
    <mergeCell ref="E37:F39"/>
    <mergeCell ref="P37:P39"/>
    <mergeCell ref="G37:H39"/>
    <mergeCell ref="A36:U36"/>
    <mergeCell ref="A28:U28"/>
    <mergeCell ref="A29:A32"/>
    <mergeCell ref="A2:A5"/>
    <mergeCell ref="C2:C5"/>
    <mergeCell ref="D2:D5"/>
    <mergeCell ref="E2:F4"/>
    <mergeCell ref="I2:J4"/>
    <mergeCell ref="K39:K40"/>
    <mergeCell ref="L39:M39"/>
  </mergeCells>
  <pageMargins left="0.70866141732283472" right="0.70866141732283472" top="0.74803149606299213" bottom="0.74803149606299213" header="0.31496062992125984" footer="0.31496062992125984"/>
  <pageSetup paperSize="9" scale="72" orientation="landscape" r:id="rId1"/>
  <rowBreaks count="1" manualBreakCount="1">
    <brk id="27" max="2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A6A01-7FBD-4845-B9FF-D0EE195286DA}">
  <sheetPr>
    <pageSetUpPr fitToPage="1"/>
  </sheetPr>
  <dimension ref="A1:O26"/>
  <sheetViews>
    <sheetView topLeftCell="A7" zoomScale="90" zoomScaleNormal="90" zoomScaleSheetLayoutView="90" workbookViewId="0">
      <selection activeCell="L29" sqref="L29"/>
    </sheetView>
  </sheetViews>
  <sheetFormatPr defaultColWidth="32" defaultRowHeight="11.25" x14ac:dyDescent="0.2"/>
  <cols>
    <col min="1" max="1" width="12.42578125" style="5" customWidth="1"/>
    <col min="2" max="3" width="12.5703125" style="668" customWidth="1"/>
    <col min="4" max="4" width="14" style="668" customWidth="1"/>
    <col min="5" max="5" width="11.7109375" style="5" customWidth="1"/>
    <col min="6" max="6" width="9.140625" style="5" customWidth="1"/>
    <col min="7" max="7" width="21" style="5" customWidth="1"/>
    <col min="8" max="8" width="10.7109375" style="5" customWidth="1"/>
    <col min="9" max="9" width="15.42578125" style="5" customWidth="1"/>
    <col min="10" max="10" width="9.28515625" style="5" customWidth="1"/>
    <col min="11" max="11" width="10.5703125" style="5" customWidth="1"/>
    <col min="12" max="12" width="9.5703125" style="5" customWidth="1"/>
    <col min="13" max="13" width="14.5703125" style="5" customWidth="1"/>
    <col min="14" max="14" width="15" style="669" customWidth="1"/>
    <col min="15" max="15" width="10.7109375" style="5" customWidth="1"/>
    <col min="16" max="16384" width="32" style="5"/>
  </cols>
  <sheetData>
    <row r="1" spans="1:15" ht="15.75" customHeight="1" x14ac:dyDescent="0.25">
      <c r="A1" s="1014" t="s">
        <v>760</v>
      </c>
      <c r="B1" s="1014"/>
      <c r="C1" s="1014"/>
      <c r="D1" s="1014"/>
      <c r="E1" s="1014"/>
      <c r="F1" s="1014"/>
      <c r="G1" s="1014"/>
      <c r="H1" s="1014"/>
      <c r="I1" s="1014"/>
      <c r="J1" s="1014"/>
      <c r="K1" s="1014"/>
      <c r="L1" s="1014"/>
      <c r="M1" s="1014"/>
      <c r="N1" s="1014"/>
      <c r="O1" s="1014"/>
    </row>
    <row r="2" spans="1:15" ht="30.75" customHeight="1" x14ac:dyDescent="0.2">
      <c r="A2" s="1012" t="s">
        <v>761</v>
      </c>
      <c r="B2" s="1016" t="s">
        <v>762</v>
      </c>
      <c r="C2" s="1017"/>
      <c r="D2" s="1012" t="s">
        <v>763</v>
      </c>
      <c r="E2" s="1012" t="s">
        <v>764</v>
      </c>
      <c r="F2" s="1020" t="s">
        <v>765</v>
      </c>
      <c r="G2" s="1020"/>
      <c r="H2" s="1020" t="s">
        <v>675</v>
      </c>
      <c r="I2" s="1020"/>
      <c r="J2" s="1020"/>
      <c r="K2" s="1020"/>
      <c r="L2" s="1020" t="s">
        <v>766</v>
      </c>
      <c r="M2" s="1020"/>
      <c r="N2" s="1020"/>
      <c r="O2" s="1020"/>
    </row>
    <row r="3" spans="1:15" ht="24" customHeight="1" x14ac:dyDescent="0.2">
      <c r="A3" s="1015"/>
      <c r="B3" s="1018"/>
      <c r="C3" s="1019"/>
      <c r="D3" s="1015"/>
      <c r="E3" s="1015"/>
      <c r="F3" s="1020"/>
      <c r="G3" s="1020"/>
      <c r="H3" s="1020"/>
      <c r="I3" s="1020"/>
      <c r="J3" s="1020"/>
      <c r="K3" s="1020"/>
      <c r="L3" s="1020"/>
      <c r="M3" s="1020"/>
      <c r="N3" s="1020"/>
      <c r="O3" s="1020"/>
    </row>
    <row r="4" spans="1:15" s="649" customFormat="1" ht="18" customHeight="1" x14ac:dyDescent="0.25">
      <c r="A4" s="1015"/>
      <c r="B4" s="1021" t="s">
        <v>767</v>
      </c>
      <c r="C4" s="1021" t="s">
        <v>768</v>
      </c>
      <c r="D4" s="1015"/>
      <c r="E4" s="1015"/>
      <c r="F4" s="1012" t="s">
        <v>769</v>
      </c>
      <c r="G4" s="1012" t="s">
        <v>770</v>
      </c>
      <c r="H4" s="1012" t="s">
        <v>771</v>
      </c>
      <c r="I4" s="1012" t="s">
        <v>770</v>
      </c>
      <c r="J4" s="1012" t="s">
        <v>772</v>
      </c>
      <c r="K4" s="1012" t="s">
        <v>773</v>
      </c>
      <c r="L4" s="1027" t="s">
        <v>767</v>
      </c>
      <c r="M4" s="1028"/>
      <c r="N4" s="1029"/>
      <c r="O4" s="1012" t="s">
        <v>768</v>
      </c>
    </row>
    <row r="5" spans="1:15" s="649" customFormat="1" ht="33" customHeight="1" x14ac:dyDescent="0.25">
      <c r="A5" s="1013"/>
      <c r="B5" s="1022"/>
      <c r="C5" s="1022"/>
      <c r="D5" s="1013"/>
      <c r="E5" s="1013"/>
      <c r="F5" s="1013"/>
      <c r="G5" s="1013"/>
      <c r="H5" s="1013"/>
      <c r="I5" s="1013"/>
      <c r="J5" s="1013"/>
      <c r="K5" s="1013"/>
      <c r="L5" s="648" t="s">
        <v>1</v>
      </c>
      <c r="M5" s="648" t="s">
        <v>2</v>
      </c>
      <c r="N5" s="650" t="s">
        <v>774</v>
      </c>
      <c r="O5" s="1013"/>
    </row>
    <row r="6" spans="1:15" s="649" customFormat="1" x14ac:dyDescent="0.25">
      <c r="A6" s="651" t="s">
        <v>305</v>
      </c>
      <c r="B6" s="652" t="s">
        <v>306</v>
      </c>
      <c r="C6" s="653" t="s">
        <v>307</v>
      </c>
      <c r="D6" s="653" t="s">
        <v>308</v>
      </c>
      <c r="E6" s="651" t="s">
        <v>309</v>
      </c>
      <c r="F6" s="653" t="s">
        <v>517</v>
      </c>
      <c r="G6" s="651" t="s">
        <v>642</v>
      </c>
      <c r="H6" s="653" t="s">
        <v>310</v>
      </c>
      <c r="I6" s="651" t="s">
        <v>775</v>
      </c>
      <c r="J6" s="653" t="s">
        <v>518</v>
      </c>
      <c r="K6" s="651" t="s">
        <v>753</v>
      </c>
      <c r="L6" s="653" t="s">
        <v>741</v>
      </c>
      <c r="M6" s="651" t="s">
        <v>776</v>
      </c>
      <c r="N6" s="651" t="s">
        <v>777</v>
      </c>
      <c r="O6" s="653" t="s">
        <v>778</v>
      </c>
    </row>
    <row r="7" spans="1:15" s="649" customFormat="1" ht="23.25" customHeight="1" x14ac:dyDescent="0.25">
      <c r="A7" s="1030" t="s">
        <v>779</v>
      </c>
      <c r="B7" s="1033">
        <v>15967539.303690501</v>
      </c>
      <c r="C7" s="1033">
        <v>7920000</v>
      </c>
      <c r="D7" s="1036">
        <v>15967539.303690501</v>
      </c>
      <c r="E7" s="641" t="s">
        <v>780</v>
      </c>
      <c r="F7" s="654" t="s">
        <v>781</v>
      </c>
      <c r="G7" s="1039">
        <v>15967539.303690501</v>
      </c>
      <c r="H7" s="1042"/>
      <c r="I7" s="1043"/>
      <c r="J7" s="1043"/>
      <c r="K7" s="1044"/>
      <c r="L7" s="1024">
        <v>14336287.4241667</v>
      </c>
      <c r="M7" s="1024">
        <v>14336287.4241667</v>
      </c>
      <c r="N7" s="1023">
        <f>+M7/L7</f>
        <v>1</v>
      </c>
      <c r="O7" s="1024">
        <v>6892311.3099999996</v>
      </c>
    </row>
    <row r="8" spans="1:15" s="649" customFormat="1" ht="15" customHeight="1" x14ac:dyDescent="0.25">
      <c r="A8" s="1031"/>
      <c r="B8" s="1034"/>
      <c r="C8" s="1034"/>
      <c r="D8" s="1037"/>
      <c r="E8" s="641">
        <v>2015</v>
      </c>
      <c r="F8" s="657">
        <v>716</v>
      </c>
      <c r="G8" s="1040"/>
      <c r="H8" s="1045"/>
      <c r="I8" s="1046"/>
      <c r="J8" s="1046"/>
      <c r="K8" s="1047"/>
      <c r="L8" s="1024"/>
      <c r="M8" s="1024"/>
      <c r="N8" s="1023"/>
      <c r="O8" s="1024"/>
    </row>
    <row r="9" spans="1:15" s="649" customFormat="1" ht="15" customHeight="1" x14ac:dyDescent="0.25">
      <c r="A9" s="1031"/>
      <c r="B9" s="1034"/>
      <c r="C9" s="1034"/>
      <c r="D9" s="1037"/>
      <c r="E9" s="641">
        <v>2016</v>
      </c>
      <c r="F9" s="657">
        <v>540</v>
      </c>
      <c r="G9" s="1040"/>
      <c r="H9" s="1045"/>
      <c r="I9" s="1046"/>
      <c r="J9" s="1046"/>
      <c r="K9" s="1047"/>
      <c r="L9" s="1024"/>
      <c r="M9" s="1024"/>
      <c r="N9" s="1023"/>
      <c r="O9" s="1024"/>
    </row>
    <row r="10" spans="1:15" s="649" customFormat="1" ht="15" customHeight="1" x14ac:dyDescent="0.25">
      <c r="A10" s="1031"/>
      <c r="B10" s="1034"/>
      <c r="C10" s="1034"/>
      <c r="D10" s="1037"/>
      <c r="E10" s="641">
        <v>2017</v>
      </c>
      <c r="F10" s="657">
        <v>403</v>
      </c>
      <c r="G10" s="1040"/>
      <c r="H10" s="1045"/>
      <c r="I10" s="1046"/>
      <c r="J10" s="1046"/>
      <c r="K10" s="1047"/>
      <c r="L10" s="1024"/>
      <c r="M10" s="1024"/>
      <c r="N10" s="1023"/>
      <c r="O10" s="1024"/>
    </row>
    <row r="11" spans="1:15" s="649" customFormat="1" ht="15" customHeight="1" x14ac:dyDescent="0.25">
      <c r="A11" s="1031"/>
      <c r="B11" s="1034"/>
      <c r="C11" s="1034"/>
      <c r="D11" s="1037"/>
      <c r="E11" s="641">
        <v>2018</v>
      </c>
      <c r="F11" s="660">
        <v>351</v>
      </c>
      <c r="G11" s="1040"/>
      <c r="H11" s="1045"/>
      <c r="I11" s="1046"/>
      <c r="J11" s="1046"/>
      <c r="K11" s="1047"/>
      <c r="L11" s="1024"/>
      <c r="M11" s="1024"/>
      <c r="N11" s="1023"/>
      <c r="O11" s="1024"/>
    </row>
    <row r="12" spans="1:15" s="649" customFormat="1" ht="15" customHeight="1" x14ac:dyDescent="0.25">
      <c r="A12" s="1031"/>
      <c r="B12" s="1034"/>
      <c r="C12" s="1034"/>
      <c r="D12" s="1037"/>
      <c r="E12" s="641">
        <v>2019</v>
      </c>
      <c r="F12" s="660">
        <v>351</v>
      </c>
      <c r="G12" s="1040"/>
      <c r="H12" s="1045"/>
      <c r="I12" s="1046"/>
      <c r="J12" s="1046"/>
      <c r="K12" s="1047"/>
      <c r="L12" s="1024"/>
      <c r="M12" s="1024"/>
      <c r="N12" s="1023"/>
      <c r="O12" s="1024"/>
    </row>
    <row r="13" spans="1:15" s="649" customFormat="1" ht="15" customHeight="1" x14ac:dyDescent="0.25">
      <c r="A13" s="1031"/>
      <c r="B13" s="1034"/>
      <c r="C13" s="1034"/>
      <c r="D13" s="1037"/>
      <c r="E13" s="661">
        <v>2020</v>
      </c>
      <c r="F13" s="662">
        <v>351</v>
      </c>
      <c r="G13" s="1040"/>
      <c r="H13" s="1045"/>
      <c r="I13" s="1046"/>
      <c r="J13" s="1046"/>
      <c r="K13" s="1047"/>
      <c r="L13" s="1024"/>
      <c r="M13" s="1024"/>
      <c r="N13" s="1023"/>
      <c r="O13" s="1024"/>
    </row>
    <row r="14" spans="1:15" s="649" customFormat="1" ht="15" customHeight="1" x14ac:dyDescent="0.25">
      <c r="A14" s="1031"/>
      <c r="B14" s="1034"/>
      <c r="C14" s="1034"/>
      <c r="D14" s="1037"/>
      <c r="E14" s="661">
        <v>2021</v>
      </c>
      <c r="F14" s="662">
        <v>163</v>
      </c>
      <c r="G14" s="1040"/>
      <c r="H14" s="1045"/>
      <c r="I14" s="1046"/>
      <c r="J14" s="1046"/>
      <c r="K14" s="1047"/>
      <c r="L14" s="1024"/>
      <c r="M14" s="1024"/>
      <c r="N14" s="1023"/>
      <c r="O14" s="1024"/>
    </row>
    <row r="15" spans="1:15" s="649" customFormat="1" ht="15" customHeight="1" x14ac:dyDescent="0.25">
      <c r="A15" s="1031"/>
      <c r="B15" s="1034"/>
      <c r="C15" s="1034"/>
      <c r="D15" s="1037"/>
      <c r="E15" s="661">
        <v>2022</v>
      </c>
      <c r="F15" s="662">
        <v>152</v>
      </c>
      <c r="G15" s="1040"/>
      <c r="H15" s="1045"/>
      <c r="I15" s="1046"/>
      <c r="J15" s="1046"/>
      <c r="K15" s="1047"/>
      <c r="L15" s="1024"/>
      <c r="M15" s="1024"/>
      <c r="N15" s="1023"/>
      <c r="O15" s="1024"/>
    </row>
    <row r="16" spans="1:15" s="649" customFormat="1" ht="15" customHeight="1" x14ac:dyDescent="0.25">
      <c r="A16" s="1032"/>
      <c r="B16" s="1035"/>
      <c r="C16" s="1035"/>
      <c r="D16" s="1038"/>
      <c r="E16" s="661">
        <v>2023</v>
      </c>
      <c r="F16" s="662">
        <v>150</v>
      </c>
      <c r="G16" s="1041"/>
      <c r="H16" s="1045"/>
      <c r="I16" s="1046"/>
      <c r="J16" s="1046"/>
      <c r="K16" s="1047"/>
      <c r="L16" s="1024"/>
      <c r="M16" s="1024"/>
      <c r="N16" s="1023"/>
      <c r="O16" s="1024"/>
    </row>
    <row r="17" spans="1:15" s="649" customFormat="1" ht="15.75" customHeight="1" x14ac:dyDescent="0.25">
      <c r="A17" s="1025" t="s">
        <v>782</v>
      </c>
      <c r="B17" s="1025"/>
      <c r="C17" s="1025"/>
      <c r="D17" s="1025"/>
      <c r="E17" s="1025"/>
      <c r="F17" s="664">
        <f>SUM(F8:F16)</f>
        <v>3177</v>
      </c>
      <c r="G17" s="665">
        <f>SUM(G7)</f>
        <v>15967539.303690501</v>
      </c>
      <c r="H17" s="1048"/>
      <c r="I17" s="1049"/>
      <c r="J17" s="1049"/>
      <c r="K17" s="1050"/>
      <c r="L17" s="1024"/>
      <c r="M17" s="1024"/>
      <c r="N17" s="1023"/>
      <c r="O17" s="1024"/>
    </row>
    <row r="19" spans="1:15" s="667" customFormat="1" x14ac:dyDescent="0.25">
      <c r="A19" s="666"/>
      <c r="B19" s="666"/>
      <c r="C19" s="666"/>
      <c r="D19" s="666"/>
      <c r="E19" s="666"/>
      <c r="F19" s="666"/>
      <c r="G19" s="666"/>
      <c r="H19" s="666"/>
      <c r="I19" s="666"/>
      <c r="J19" s="666"/>
      <c r="K19" s="666"/>
      <c r="L19" s="666"/>
      <c r="M19" s="666"/>
      <c r="N19" s="666"/>
      <c r="O19" s="666"/>
    </row>
    <row r="20" spans="1:15" x14ac:dyDescent="0.2">
      <c r="H20" s="426"/>
      <c r="I20" s="426"/>
      <c r="J20" s="426"/>
      <c r="N20" s="5"/>
      <c r="O20" s="669"/>
    </row>
    <row r="21" spans="1:15" ht="36" customHeight="1" x14ac:dyDescent="0.2">
      <c r="A21" s="1026" t="s">
        <v>783</v>
      </c>
      <c r="B21" s="1026"/>
      <c r="C21" s="1026"/>
      <c r="D21" s="1026"/>
      <c r="E21" s="1026"/>
      <c r="F21" s="1026"/>
      <c r="G21" s="1026"/>
      <c r="H21" s="1026"/>
      <c r="I21" s="1026"/>
      <c r="J21" s="1026"/>
      <c r="K21" s="1026"/>
      <c r="L21" s="1026"/>
      <c r="M21" s="1026"/>
      <c r="N21" s="1026"/>
      <c r="O21" s="1026"/>
    </row>
    <row r="24" spans="1:15" x14ac:dyDescent="0.2">
      <c r="G24" s="426"/>
    </row>
    <row r="26" spans="1:15" x14ac:dyDescent="0.2">
      <c r="G26" s="426"/>
    </row>
  </sheetData>
  <mergeCells count="30">
    <mergeCell ref="N7:N17"/>
    <mergeCell ref="O7:O17"/>
    <mergeCell ref="A17:E17"/>
    <mergeCell ref="A21:O21"/>
    <mergeCell ref="L4:N4"/>
    <mergeCell ref="O4:O5"/>
    <mergeCell ref="A7:A16"/>
    <mergeCell ref="B7:B16"/>
    <mergeCell ref="C7:C16"/>
    <mergeCell ref="D7:D16"/>
    <mergeCell ref="G7:G16"/>
    <mergeCell ref="H7:K17"/>
    <mergeCell ref="L7:L17"/>
    <mergeCell ref="M7:M17"/>
    <mergeCell ref="F4:F5"/>
    <mergeCell ref="G4:G5"/>
    <mergeCell ref="H4:H5"/>
    <mergeCell ref="I4:I5"/>
    <mergeCell ref="J4:J5"/>
    <mergeCell ref="K4:K5"/>
    <mergeCell ref="A1:O1"/>
    <mergeCell ref="A2:A5"/>
    <mergeCell ref="B2:C3"/>
    <mergeCell ref="D2:D5"/>
    <mergeCell ref="E2:E5"/>
    <mergeCell ref="F2:G3"/>
    <mergeCell ref="H2:K3"/>
    <mergeCell ref="L2:O3"/>
    <mergeCell ref="B4:B5"/>
    <mergeCell ref="C4:C5"/>
  </mergeCells>
  <printOptions horizontalCentered="1" verticalCentered="1"/>
  <pageMargins left="0.39370078740157483" right="0.39370078740157483" top="0.39370078740157483" bottom="0.39370078740157483" header="0.31496062992125984" footer="0.31496062992125984"/>
  <pageSetup paperSize="9" scale="74"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18"/>
  <sheetViews>
    <sheetView view="pageBreakPreview" zoomScaleNormal="100" zoomScaleSheetLayoutView="100" workbookViewId="0">
      <selection activeCell="Q20" sqref="Q20"/>
    </sheetView>
  </sheetViews>
  <sheetFormatPr defaultColWidth="8.7109375" defaultRowHeight="15" x14ac:dyDescent="0.25"/>
  <cols>
    <col min="1" max="1" width="9.42578125" customWidth="1"/>
    <col min="2" max="2" width="5.7109375" customWidth="1"/>
    <col min="3" max="4" width="8.85546875" bestFit="1" customWidth="1"/>
    <col min="5" max="5" width="4.42578125" bestFit="1" customWidth="1"/>
    <col min="6" max="6" width="9.7109375" customWidth="1"/>
    <col min="7" max="7" width="3.140625" bestFit="1" customWidth="1"/>
    <col min="8" max="8" width="7.85546875" bestFit="1" customWidth="1"/>
    <col min="9" max="9" width="3.28515625" bestFit="1" customWidth="1"/>
    <col min="10" max="10" width="8.85546875" bestFit="1" customWidth="1"/>
    <col min="11" max="11" width="3.28515625" bestFit="1" customWidth="1"/>
    <col min="12" max="12" width="3.140625" bestFit="1" customWidth="1"/>
    <col min="13" max="13" width="9.5703125" bestFit="1" customWidth="1"/>
    <col min="14" max="14" width="3.28515625" bestFit="1" customWidth="1"/>
    <col min="15" max="15" width="9.5703125" bestFit="1" customWidth="1"/>
    <col min="16" max="16" width="11" customWidth="1"/>
    <col min="17" max="17" width="8.42578125" customWidth="1"/>
    <col min="18" max="18" width="3.140625" bestFit="1" customWidth="1"/>
    <col min="19" max="19" width="8.85546875" bestFit="1" customWidth="1"/>
    <col min="20" max="20" width="4.5703125" customWidth="1"/>
    <col min="21" max="21" width="8.85546875" customWidth="1"/>
    <col min="22" max="22" width="3.140625" bestFit="1" customWidth="1"/>
    <col min="24" max="24" width="3.140625" bestFit="1" customWidth="1"/>
    <col min="26" max="26" width="3.140625" bestFit="1" customWidth="1"/>
  </cols>
  <sheetData>
    <row r="1" spans="1:27" x14ac:dyDescent="0.25">
      <c r="A1" s="1008" t="s">
        <v>207</v>
      </c>
      <c r="B1" s="1008"/>
      <c r="C1" s="1008"/>
      <c r="D1" s="1008"/>
      <c r="E1" s="1008"/>
      <c r="F1" s="1008"/>
      <c r="G1" s="1008"/>
      <c r="H1" s="1008"/>
      <c r="I1" s="1008"/>
      <c r="J1" s="1008"/>
      <c r="K1" s="1008"/>
      <c r="L1" s="1008"/>
      <c r="M1" s="1008"/>
      <c r="N1" s="1008"/>
      <c r="O1" s="1008"/>
      <c r="P1" s="1008"/>
      <c r="Q1" s="1008"/>
      <c r="R1" s="1008"/>
      <c r="S1" s="1008"/>
      <c r="T1" s="1008"/>
      <c r="U1" s="1008"/>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ht="45" x14ac:dyDescent="0.25">
      <c r="A6" s="58" t="s">
        <v>208</v>
      </c>
      <c r="B6" s="58">
        <v>23481</v>
      </c>
      <c r="C6" s="165">
        <v>10357998</v>
      </c>
      <c r="D6" s="111">
        <v>43644</v>
      </c>
      <c r="E6" s="133">
        <v>508</v>
      </c>
      <c r="F6" s="176">
        <v>70707835.090000004</v>
      </c>
      <c r="G6" s="59">
        <v>0</v>
      </c>
      <c r="H6" s="59">
        <v>0</v>
      </c>
      <c r="I6" s="165">
        <v>70</v>
      </c>
      <c r="J6" s="176">
        <f>6853103+3235417</f>
        <v>10088520</v>
      </c>
      <c r="K6" s="366">
        <v>47</v>
      </c>
      <c r="L6" s="366">
        <v>47</v>
      </c>
      <c r="M6" s="390">
        <v>7675062.54</v>
      </c>
      <c r="N6" s="366">
        <v>30</v>
      </c>
      <c r="O6" s="390">
        <v>5315026.51</v>
      </c>
      <c r="P6" s="565">
        <f>J6-M6</f>
        <v>2413457.46</v>
      </c>
      <c r="Q6" s="366">
        <f>C6-J6</f>
        <v>269478</v>
      </c>
      <c r="R6" s="366">
        <v>54</v>
      </c>
      <c r="S6" s="366">
        <v>4638182.79</v>
      </c>
      <c r="T6" s="59">
        <v>38</v>
      </c>
      <c r="U6" s="59">
        <v>3142920.35</v>
      </c>
      <c r="V6" s="22">
        <v>14</v>
      </c>
      <c r="W6" s="22">
        <v>1161962.6000000001</v>
      </c>
      <c r="X6" s="22">
        <v>6</v>
      </c>
      <c r="Y6" s="22">
        <v>845377.07000000007</v>
      </c>
      <c r="Z6" s="22">
        <v>8</v>
      </c>
      <c r="AA6" s="22">
        <v>1135580.68</v>
      </c>
    </row>
    <row r="7" spans="1:27" x14ac:dyDescent="0.25">
      <c r="A7" s="19" t="s">
        <v>209</v>
      </c>
      <c r="B7" s="60"/>
      <c r="C7" s="20">
        <f>SUM(C6:C6)</f>
        <v>10357998</v>
      </c>
      <c r="D7" s="20"/>
      <c r="E7" s="20">
        <f t="shared" ref="E7:AA7" si="0">SUM(E6:E6)</f>
        <v>508</v>
      </c>
      <c r="F7" s="20">
        <f t="shared" si="0"/>
        <v>70707835.090000004</v>
      </c>
      <c r="G7" s="20">
        <f t="shared" si="0"/>
        <v>0</v>
      </c>
      <c r="H7" s="20">
        <f t="shared" si="0"/>
        <v>0</v>
      </c>
      <c r="I7" s="20">
        <f t="shared" si="0"/>
        <v>70</v>
      </c>
      <c r="J7" s="20">
        <f t="shared" si="0"/>
        <v>10088520</v>
      </c>
      <c r="K7" s="20">
        <f t="shared" si="0"/>
        <v>47</v>
      </c>
      <c r="L7" s="20">
        <f t="shared" si="0"/>
        <v>47</v>
      </c>
      <c r="M7" s="20">
        <f t="shared" si="0"/>
        <v>7675062.54</v>
      </c>
      <c r="N7" s="20">
        <f t="shared" si="0"/>
        <v>30</v>
      </c>
      <c r="O7" s="20">
        <f t="shared" si="0"/>
        <v>5315026.51</v>
      </c>
      <c r="P7" s="20">
        <f t="shared" si="0"/>
        <v>2413457.46</v>
      </c>
      <c r="Q7" s="20">
        <f t="shared" si="0"/>
        <v>269478</v>
      </c>
      <c r="R7" s="20">
        <f t="shared" si="0"/>
        <v>54</v>
      </c>
      <c r="S7" s="20">
        <f t="shared" si="0"/>
        <v>4638182.79</v>
      </c>
      <c r="T7" s="20">
        <f t="shared" si="0"/>
        <v>38</v>
      </c>
      <c r="U7" s="20">
        <f t="shared" si="0"/>
        <v>3142920.35</v>
      </c>
      <c r="V7" s="20">
        <f t="shared" si="0"/>
        <v>14</v>
      </c>
      <c r="W7" s="20">
        <f t="shared" si="0"/>
        <v>1161962.6000000001</v>
      </c>
      <c r="X7" s="20">
        <f t="shared" si="0"/>
        <v>6</v>
      </c>
      <c r="Y7" s="20">
        <f t="shared" si="0"/>
        <v>845377.07000000007</v>
      </c>
      <c r="Z7" s="20">
        <f t="shared" si="0"/>
        <v>8</v>
      </c>
      <c r="AA7" s="20">
        <f t="shared" si="0"/>
        <v>1135580.68</v>
      </c>
    </row>
    <row r="8" spans="1:27" ht="10.9" customHeight="1" x14ac:dyDescent="0.25"/>
    <row r="9" spans="1:27" ht="7.15" customHeight="1" x14ac:dyDescent="0.25"/>
    <row r="10" spans="1:27" x14ac:dyDescent="0.25">
      <c r="A10" s="1008" t="s">
        <v>210</v>
      </c>
      <c r="B10" s="1008"/>
      <c r="C10" s="1008"/>
      <c r="D10" s="1008"/>
      <c r="E10" s="1008"/>
      <c r="F10" s="1008"/>
      <c r="G10" s="1008"/>
      <c r="H10" s="1008"/>
      <c r="I10" s="1008"/>
      <c r="J10" s="1008"/>
      <c r="K10" s="1008"/>
      <c r="L10" s="1008"/>
      <c r="M10" s="1008"/>
      <c r="N10" s="1008"/>
      <c r="O10" s="1008"/>
      <c r="P10" s="1008"/>
      <c r="Q10" s="1008"/>
      <c r="R10" s="1008"/>
      <c r="S10" s="1008"/>
      <c r="T10" s="1008"/>
      <c r="U10" s="1008"/>
    </row>
    <row r="11" spans="1:27" s="12" customFormat="1" ht="28.9" customHeight="1" x14ac:dyDescent="0.2">
      <c r="A11" s="966" t="s">
        <v>156</v>
      </c>
      <c r="B11" s="966" t="s">
        <v>282</v>
      </c>
      <c r="C11" s="966" t="s">
        <v>157</v>
      </c>
      <c r="D11" s="966" t="s">
        <v>158</v>
      </c>
      <c r="E11" s="969" t="s">
        <v>337</v>
      </c>
      <c r="F11" s="970"/>
      <c r="G11" s="969" t="s">
        <v>277</v>
      </c>
      <c r="H11" s="970"/>
      <c r="I11" s="969" t="s">
        <v>159</v>
      </c>
      <c r="J11" s="970"/>
      <c r="K11" s="976" t="s">
        <v>717</v>
      </c>
      <c r="L11" s="977"/>
      <c r="M11" s="977"/>
      <c r="N11" s="977"/>
      <c r="O11" s="978"/>
      <c r="P11" s="966" t="s">
        <v>250</v>
      </c>
      <c r="Q11" s="966" t="s">
        <v>630</v>
      </c>
      <c r="R11" s="969" t="s">
        <v>718</v>
      </c>
      <c r="S11" s="970"/>
      <c r="T11" s="969" t="s">
        <v>719</v>
      </c>
      <c r="U11" s="970"/>
      <c r="V11" s="982" t="s">
        <v>719</v>
      </c>
      <c r="W11" s="982"/>
      <c r="X11" s="982"/>
      <c r="Y11" s="982"/>
      <c r="Z11" s="982"/>
      <c r="AA11" s="982"/>
    </row>
    <row r="12" spans="1:27" s="12" customFormat="1" ht="14.45" customHeight="1" x14ac:dyDescent="0.2">
      <c r="A12" s="967"/>
      <c r="B12" s="967"/>
      <c r="C12" s="967"/>
      <c r="D12" s="967"/>
      <c r="E12" s="971"/>
      <c r="F12" s="972"/>
      <c r="G12" s="971"/>
      <c r="H12" s="972"/>
      <c r="I12" s="971"/>
      <c r="J12" s="972"/>
      <c r="K12" s="976" t="s">
        <v>160</v>
      </c>
      <c r="L12" s="977"/>
      <c r="M12" s="978"/>
      <c r="N12" s="969" t="s">
        <v>631</v>
      </c>
      <c r="O12" s="970"/>
      <c r="P12" s="967"/>
      <c r="Q12" s="967"/>
      <c r="R12" s="971"/>
      <c r="S12" s="972"/>
      <c r="T12" s="971"/>
      <c r="U12" s="972"/>
      <c r="V12" s="982"/>
      <c r="W12" s="982"/>
      <c r="X12" s="982"/>
      <c r="Y12" s="982"/>
      <c r="Z12" s="982"/>
      <c r="AA12" s="982"/>
    </row>
    <row r="13" spans="1:27" s="12" customFormat="1" ht="20.25" customHeight="1" x14ac:dyDescent="0.2">
      <c r="A13" s="967"/>
      <c r="B13" s="967"/>
      <c r="C13" s="967"/>
      <c r="D13" s="967"/>
      <c r="E13" s="973"/>
      <c r="F13" s="974"/>
      <c r="G13" s="973"/>
      <c r="H13" s="974"/>
      <c r="I13" s="973"/>
      <c r="J13" s="974"/>
      <c r="K13" s="979" t="s">
        <v>161</v>
      </c>
      <c r="L13" s="976" t="s">
        <v>247</v>
      </c>
      <c r="M13" s="978"/>
      <c r="N13" s="973"/>
      <c r="O13" s="974"/>
      <c r="P13" s="975"/>
      <c r="Q13" s="975"/>
      <c r="R13" s="973"/>
      <c r="S13" s="974"/>
      <c r="T13" s="973"/>
      <c r="U13" s="974"/>
      <c r="V13" s="982" t="s">
        <v>587</v>
      </c>
      <c r="W13" s="982"/>
      <c r="X13" s="982" t="s">
        <v>588</v>
      </c>
      <c r="Y13" s="982"/>
      <c r="Z13" s="982" t="s">
        <v>589</v>
      </c>
      <c r="AA13" s="982"/>
    </row>
    <row r="14" spans="1:27" s="12" customFormat="1" ht="21" x14ac:dyDescent="0.2">
      <c r="A14" s="968"/>
      <c r="B14" s="968"/>
      <c r="C14" s="968"/>
      <c r="D14" s="968"/>
      <c r="E14" s="160" t="s">
        <v>161</v>
      </c>
      <c r="F14" s="130" t="s">
        <v>162</v>
      </c>
      <c r="G14" s="15" t="s">
        <v>161</v>
      </c>
      <c r="H14" s="16" t="s">
        <v>162</v>
      </c>
      <c r="I14" s="160" t="s">
        <v>161</v>
      </c>
      <c r="J14" s="130" t="s">
        <v>162</v>
      </c>
      <c r="K14" s="980"/>
      <c r="L14" s="160" t="s">
        <v>161</v>
      </c>
      <c r="M14" s="130" t="s">
        <v>162</v>
      </c>
      <c r="N14" s="160" t="s">
        <v>161</v>
      </c>
      <c r="O14" s="130" t="s">
        <v>162</v>
      </c>
      <c r="P14" s="16" t="s">
        <v>162</v>
      </c>
      <c r="Q14" s="16" t="s">
        <v>162</v>
      </c>
      <c r="R14" s="15" t="s">
        <v>161</v>
      </c>
      <c r="S14" s="16" t="s">
        <v>162</v>
      </c>
      <c r="T14" s="78" t="s">
        <v>161</v>
      </c>
      <c r="U14" s="79" t="s">
        <v>162</v>
      </c>
      <c r="V14" s="227" t="s">
        <v>161</v>
      </c>
      <c r="W14" s="218" t="s">
        <v>162</v>
      </c>
      <c r="X14" s="227" t="s">
        <v>161</v>
      </c>
      <c r="Y14" s="218" t="s">
        <v>162</v>
      </c>
      <c r="Z14" s="227" t="s">
        <v>161</v>
      </c>
      <c r="AA14" s="218" t="s">
        <v>162</v>
      </c>
    </row>
    <row r="15" spans="1:27" s="23" customFormat="1" ht="45" x14ac:dyDescent="0.25">
      <c r="A15" s="58" t="s">
        <v>97</v>
      </c>
      <c r="B15" s="58">
        <v>17303</v>
      </c>
      <c r="C15" s="165">
        <v>5378167</v>
      </c>
      <c r="D15" s="111">
        <v>43434.999988425923</v>
      </c>
      <c r="E15" s="59">
        <v>77</v>
      </c>
      <c r="F15" s="176">
        <v>13793455.759999996</v>
      </c>
      <c r="G15" s="59">
        <v>6</v>
      </c>
      <c r="H15" s="59">
        <v>1774639.679999996</v>
      </c>
      <c r="I15" s="59">
        <v>12</v>
      </c>
      <c r="J15" s="176">
        <v>3457568.68</v>
      </c>
      <c r="K15" s="59">
        <v>12</v>
      </c>
      <c r="L15" s="59">
        <v>12</v>
      </c>
      <c r="M15" s="82">
        <v>3457568.68</v>
      </c>
      <c r="N15" s="59">
        <v>10</v>
      </c>
      <c r="O15" s="59">
        <v>2585403.23</v>
      </c>
      <c r="P15" s="25">
        <f>J15-M15</f>
        <v>0</v>
      </c>
      <c r="Q15" s="59">
        <f>C15-J15</f>
        <v>1920598.3199999998</v>
      </c>
      <c r="R15" s="366">
        <v>28</v>
      </c>
      <c r="S15" s="366">
        <v>2882581.9699999997</v>
      </c>
      <c r="T15" s="59">
        <v>26</v>
      </c>
      <c r="U15" s="59">
        <v>2770934.5199999991</v>
      </c>
      <c r="V15" s="22">
        <v>2</v>
      </c>
      <c r="W15" s="22">
        <v>276903.46000000002</v>
      </c>
      <c r="X15" s="22">
        <v>1</v>
      </c>
      <c r="Y15" s="22">
        <v>160361.79999999999</v>
      </c>
      <c r="Z15" s="22">
        <v>8</v>
      </c>
      <c r="AA15" s="22">
        <v>2333669.2599999998</v>
      </c>
    </row>
    <row r="16" spans="1:27" x14ac:dyDescent="0.25">
      <c r="A16" s="19" t="s">
        <v>211</v>
      </c>
      <c r="B16" s="60"/>
      <c r="C16" s="20">
        <f>SUM(C15:C15)</f>
        <v>5378167</v>
      </c>
      <c r="D16" s="20"/>
      <c r="E16" s="20">
        <f t="shared" ref="E16:AA16" si="1">SUM(E15:E15)</f>
        <v>77</v>
      </c>
      <c r="F16" s="20">
        <f t="shared" si="1"/>
        <v>13793455.759999996</v>
      </c>
      <c r="G16" s="20">
        <f t="shared" si="1"/>
        <v>6</v>
      </c>
      <c r="H16" s="20">
        <f t="shared" si="1"/>
        <v>1774639.679999996</v>
      </c>
      <c r="I16" s="20">
        <f t="shared" si="1"/>
        <v>12</v>
      </c>
      <c r="J16" s="20">
        <f>SUM(J15:J15)</f>
        <v>3457568.68</v>
      </c>
      <c r="K16" s="20">
        <f t="shared" si="1"/>
        <v>12</v>
      </c>
      <c r="L16" s="20">
        <f t="shared" si="1"/>
        <v>12</v>
      </c>
      <c r="M16" s="20">
        <f t="shared" si="1"/>
        <v>3457568.68</v>
      </c>
      <c r="N16" s="20">
        <f t="shared" si="1"/>
        <v>10</v>
      </c>
      <c r="O16" s="20">
        <f t="shared" si="1"/>
        <v>2585403.23</v>
      </c>
      <c r="P16" s="20">
        <f t="shared" si="1"/>
        <v>0</v>
      </c>
      <c r="Q16" s="20">
        <f t="shared" si="1"/>
        <v>1920598.3199999998</v>
      </c>
      <c r="R16" s="20">
        <f t="shared" si="1"/>
        <v>28</v>
      </c>
      <c r="S16" s="20">
        <f t="shared" si="1"/>
        <v>2882581.9699999997</v>
      </c>
      <c r="T16" s="20">
        <f t="shared" si="1"/>
        <v>26</v>
      </c>
      <c r="U16" s="20">
        <f t="shared" si="1"/>
        <v>2770934.5199999991</v>
      </c>
      <c r="V16" s="20">
        <f t="shared" si="1"/>
        <v>2</v>
      </c>
      <c r="W16" s="20">
        <f t="shared" si="1"/>
        <v>276903.46000000002</v>
      </c>
      <c r="X16" s="20">
        <f t="shared" si="1"/>
        <v>1</v>
      </c>
      <c r="Y16" s="20">
        <f t="shared" si="1"/>
        <v>160361.79999999999</v>
      </c>
      <c r="Z16" s="20">
        <f t="shared" si="1"/>
        <v>8</v>
      </c>
      <c r="AA16" s="20">
        <f t="shared" si="1"/>
        <v>2333669.2599999998</v>
      </c>
    </row>
    <row r="17" spans="1:27" ht="15" customHeight="1" x14ac:dyDescent="0.25">
      <c r="A17" s="219" t="s">
        <v>390</v>
      </c>
      <c r="B17" s="140"/>
      <c r="C17" s="140"/>
      <c r="D17" s="140"/>
      <c r="E17" s="140"/>
      <c r="F17" s="140"/>
      <c r="G17" s="140"/>
      <c r="H17" s="140"/>
      <c r="I17" s="140"/>
      <c r="J17" s="140"/>
      <c r="K17" s="140"/>
      <c r="L17" s="140"/>
      <c r="M17" s="140"/>
      <c r="N17" s="140"/>
      <c r="O17" s="140"/>
      <c r="P17" s="140"/>
      <c r="Q17" s="140"/>
      <c r="R17" s="140"/>
      <c r="S17" s="140"/>
    </row>
    <row r="18" spans="1:27" s="23" customFormat="1" ht="13.9" customHeight="1" x14ac:dyDescent="0.25">
      <c r="A18" s="981" t="s">
        <v>732</v>
      </c>
      <c r="B18" s="981"/>
      <c r="C18" s="981"/>
      <c r="D18" s="981"/>
      <c r="E18" s="981"/>
      <c r="F18" s="981"/>
      <c r="G18" s="981"/>
      <c r="H18" s="981"/>
      <c r="I18" s="981"/>
      <c r="J18" s="981"/>
      <c r="K18" s="981"/>
      <c r="L18" s="981"/>
      <c r="M18" s="981"/>
      <c r="N18" s="981"/>
      <c r="O18" s="981"/>
      <c r="P18" s="981"/>
      <c r="Q18" s="981"/>
      <c r="R18" s="981"/>
      <c r="S18" s="981"/>
      <c r="T18" s="981"/>
      <c r="U18" s="981"/>
      <c r="V18" s="981"/>
      <c r="W18" s="981"/>
      <c r="X18" s="981"/>
      <c r="Y18" s="981"/>
      <c r="Z18" s="981"/>
      <c r="AA18" s="981"/>
    </row>
  </sheetData>
  <mergeCells count="43">
    <mergeCell ref="A18:AA18"/>
    <mergeCell ref="V13:W13"/>
    <mergeCell ref="X13:Y13"/>
    <mergeCell ref="Z13:AA13"/>
    <mergeCell ref="V2:AA3"/>
    <mergeCell ref="V4:W4"/>
    <mergeCell ref="X4:Y4"/>
    <mergeCell ref="Z4:AA4"/>
    <mergeCell ref="V11:AA12"/>
    <mergeCell ref="Q11:Q13"/>
    <mergeCell ref="A10:U10"/>
    <mergeCell ref="Q2:Q4"/>
    <mergeCell ref="K4:K5"/>
    <mergeCell ref="A2:A5"/>
    <mergeCell ref="C2:C5"/>
    <mergeCell ref="T11:U13"/>
    <mergeCell ref="G11:H13"/>
    <mergeCell ref="I11:J13"/>
    <mergeCell ref="K11:O11"/>
    <mergeCell ref="A1:U1"/>
    <mergeCell ref="L4:M4"/>
    <mergeCell ref="D2:D5"/>
    <mergeCell ref="E2:F4"/>
    <mergeCell ref="G2:H4"/>
    <mergeCell ref="I2:J4"/>
    <mergeCell ref="K2:O2"/>
    <mergeCell ref="P2:P4"/>
    <mergeCell ref="R2:S4"/>
    <mergeCell ref="T2:U4"/>
    <mergeCell ref="K3:M3"/>
    <mergeCell ref="B2:B5"/>
    <mergeCell ref="N3:O4"/>
    <mergeCell ref="A11:A14"/>
    <mergeCell ref="B11:B14"/>
    <mergeCell ref="C11:C14"/>
    <mergeCell ref="D11:D14"/>
    <mergeCell ref="E11:F13"/>
    <mergeCell ref="P11:P13"/>
    <mergeCell ref="N12:O13"/>
    <mergeCell ref="R11:S13"/>
    <mergeCell ref="K13:K14"/>
    <mergeCell ref="L13:M13"/>
    <mergeCell ref="K12:M12"/>
  </mergeCells>
  <pageMargins left="0.51181102362204722" right="0.51181102362204722" top="0.74803149606299213" bottom="0.74803149606299213" header="0.31496062992125984" footer="0.31496062992125984"/>
  <pageSetup paperSize="9" scale="7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A11"/>
  <sheetViews>
    <sheetView view="pageBreakPreview" topLeftCell="A3" zoomScaleNormal="100" zoomScaleSheetLayoutView="100" workbookViewId="0">
      <selection activeCell="A10" sqref="A10:AA10"/>
    </sheetView>
  </sheetViews>
  <sheetFormatPr defaultColWidth="8.7109375" defaultRowHeight="15" x14ac:dyDescent="0.25"/>
  <cols>
    <col min="1" max="1" width="12.85546875" customWidth="1"/>
    <col min="2" max="2" width="6.28515625" customWidth="1"/>
    <col min="3" max="3" width="8" customWidth="1"/>
    <col min="4" max="4" width="8.85546875" bestFit="1" customWidth="1"/>
    <col min="5" max="5" width="4.140625" customWidth="1"/>
    <col min="6" max="6" width="8.140625" customWidth="1"/>
    <col min="7" max="7" width="4.140625" bestFit="1" customWidth="1"/>
    <col min="8" max="8" width="7.5703125" customWidth="1"/>
    <col min="9" max="9" width="4.28515625" customWidth="1"/>
    <col min="10" max="10" width="7.42578125" customWidth="1"/>
    <col min="11" max="12" width="4.7109375" customWidth="1"/>
    <col min="13" max="13" width="7.5703125" customWidth="1"/>
    <col min="14" max="14" width="3.28515625" customWidth="1"/>
    <col min="15" max="15" width="8.28515625" bestFit="1" customWidth="1"/>
    <col min="16" max="17" width="8.85546875" customWidth="1"/>
    <col min="18" max="18" width="3.7109375" customWidth="1"/>
    <col min="19" max="19" width="8.5703125" customWidth="1"/>
    <col min="20" max="20" width="4.28515625" customWidth="1"/>
    <col min="21" max="21" width="8.7109375" customWidth="1"/>
    <col min="22" max="22" width="3.140625" bestFit="1" customWidth="1"/>
    <col min="24" max="24" width="3.140625" bestFit="1" customWidth="1"/>
    <col min="26" max="26" width="3.140625" bestFit="1" customWidth="1"/>
  </cols>
  <sheetData>
    <row r="1" spans="1:27" x14ac:dyDescent="0.25">
      <c r="A1" s="14" t="s">
        <v>212</v>
      </c>
      <c r="B1" s="14"/>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ht="22.5" x14ac:dyDescent="0.25">
      <c r="A6" s="151" t="s">
        <v>98</v>
      </c>
      <c r="B6" s="151">
        <v>1370</v>
      </c>
      <c r="C6" s="165">
        <v>305000</v>
      </c>
      <c r="D6" s="154">
        <v>43753</v>
      </c>
      <c r="E6" s="39">
        <v>2</v>
      </c>
      <c r="F6" s="40">
        <v>578030</v>
      </c>
      <c r="G6" s="39">
        <v>0</v>
      </c>
      <c r="H6" s="3">
        <v>0</v>
      </c>
      <c r="I6" s="39">
        <v>2</v>
      </c>
      <c r="J6" s="40">
        <v>578030</v>
      </c>
      <c r="K6" s="91">
        <v>1</v>
      </c>
      <c r="L6" s="91">
        <v>1</v>
      </c>
      <c r="M6" s="237">
        <v>305000</v>
      </c>
      <c r="N6" s="91">
        <v>1</v>
      </c>
      <c r="O6" s="71">
        <v>273030</v>
      </c>
      <c r="P6" s="18">
        <v>0</v>
      </c>
      <c r="Q6" s="295">
        <v>0</v>
      </c>
      <c r="R6" s="91">
        <v>4</v>
      </c>
      <c r="S6" s="43">
        <v>305000</v>
      </c>
      <c r="T6" s="91">
        <v>4</v>
      </c>
      <c r="U6" s="43">
        <v>305000</v>
      </c>
      <c r="V6" s="22">
        <v>0</v>
      </c>
      <c r="W6" s="22">
        <v>0</v>
      </c>
      <c r="X6" s="22">
        <v>0</v>
      </c>
      <c r="Y6" s="22">
        <v>0</v>
      </c>
      <c r="Z6" s="22">
        <v>1</v>
      </c>
      <c r="AA6" s="43">
        <v>305000</v>
      </c>
    </row>
    <row r="7" spans="1:27" x14ac:dyDescent="0.25">
      <c r="A7" s="19" t="s">
        <v>213</v>
      </c>
      <c r="B7" s="60"/>
      <c r="C7" s="20">
        <f>SUM(C6:C6)</f>
        <v>305000</v>
      </c>
      <c r="D7" s="20"/>
      <c r="E7" s="20">
        <f t="shared" ref="E7:AA7" si="0">SUM(E6:E6)</f>
        <v>2</v>
      </c>
      <c r="F7" s="20">
        <f t="shared" si="0"/>
        <v>578030</v>
      </c>
      <c r="G7" s="20">
        <f t="shared" si="0"/>
        <v>0</v>
      </c>
      <c r="H7" s="20">
        <f t="shared" si="0"/>
        <v>0</v>
      </c>
      <c r="I7" s="20">
        <f t="shared" si="0"/>
        <v>2</v>
      </c>
      <c r="J7" s="20">
        <f t="shared" si="0"/>
        <v>578030</v>
      </c>
      <c r="K7" s="20">
        <f t="shared" si="0"/>
        <v>1</v>
      </c>
      <c r="L7" s="20">
        <f t="shared" si="0"/>
        <v>1</v>
      </c>
      <c r="M7" s="20">
        <f t="shared" si="0"/>
        <v>305000</v>
      </c>
      <c r="N7" s="20">
        <f t="shared" si="0"/>
        <v>1</v>
      </c>
      <c r="O7" s="20">
        <f t="shared" si="0"/>
        <v>273030</v>
      </c>
      <c r="P7" s="20">
        <f t="shared" si="0"/>
        <v>0</v>
      </c>
      <c r="Q7" s="20">
        <f t="shared" si="0"/>
        <v>0</v>
      </c>
      <c r="R7" s="20">
        <f t="shared" si="0"/>
        <v>4</v>
      </c>
      <c r="S7" s="20">
        <f t="shared" si="0"/>
        <v>305000</v>
      </c>
      <c r="T7" s="20">
        <f t="shared" si="0"/>
        <v>4</v>
      </c>
      <c r="U7" s="20">
        <f t="shared" si="0"/>
        <v>305000</v>
      </c>
      <c r="V7" s="20">
        <f t="shared" si="0"/>
        <v>0</v>
      </c>
      <c r="W7" s="20">
        <f t="shared" si="0"/>
        <v>0</v>
      </c>
      <c r="X7" s="20">
        <f t="shared" si="0"/>
        <v>0</v>
      </c>
      <c r="Y7" s="20">
        <f t="shared" si="0"/>
        <v>0</v>
      </c>
      <c r="Z7" s="20">
        <f t="shared" si="0"/>
        <v>1</v>
      </c>
      <c r="AA7" s="20">
        <f t="shared" si="0"/>
        <v>305000</v>
      </c>
    </row>
    <row r="8" spans="1:27" ht="15" customHeight="1" x14ac:dyDescent="0.25">
      <c r="A8" s="983" t="s">
        <v>414</v>
      </c>
      <c r="B8" s="983"/>
      <c r="C8" s="983"/>
      <c r="D8" s="983"/>
      <c r="E8" s="983"/>
      <c r="F8" s="983"/>
      <c r="G8" s="983"/>
      <c r="H8" s="983"/>
      <c r="I8" s="983"/>
      <c r="J8" s="983"/>
      <c r="K8" s="983"/>
      <c r="L8" s="983"/>
      <c r="M8" s="983"/>
      <c r="N8" s="983"/>
      <c r="O8" s="983"/>
      <c r="P8" s="983"/>
      <c r="Q8" s="983"/>
      <c r="R8" s="983"/>
      <c r="S8" s="983"/>
      <c r="T8" s="983"/>
      <c r="U8" s="983"/>
    </row>
    <row r="9" spans="1:27" ht="15" customHeight="1" x14ac:dyDescent="0.25">
      <c r="A9" s="219" t="s">
        <v>390</v>
      </c>
      <c r="B9" s="140"/>
      <c r="C9" s="140"/>
      <c r="D9" s="140"/>
      <c r="E9" s="140"/>
      <c r="F9" s="140"/>
      <c r="G9" s="140"/>
      <c r="H9" s="140"/>
      <c r="I9" s="140"/>
      <c r="J9" s="140"/>
      <c r="K9" s="140"/>
      <c r="L9" s="140"/>
      <c r="M9" s="140"/>
      <c r="N9" s="140"/>
      <c r="O9" s="140"/>
      <c r="P9" s="140"/>
      <c r="Q9" s="140"/>
      <c r="R9" s="140"/>
      <c r="S9" s="140"/>
    </row>
    <row r="10" spans="1:27" s="23" customFormat="1" ht="16.899999999999999" customHeight="1" x14ac:dyDescent="0.25">
      <c r="A10" s="981" t="s">
        <v>732</v>
      </c>
      <c r="B10" s="981"/>
      <c r="C10" s="981"/>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row>
    <row r="11" spans="1:27" x14ac:dyDescent="0.25">
      <c r="A11" s="12"/>
      <c r="B11" s="12"/>
    </row>
  </sheetData>
  <mergeCells count="22">
    <mergeCell ref="A10:AA10"/>
    <mergeCell ref="I2:J4"/>
    <mergeCell ref="G2:H4"/>
    <mergeCell ref="V2:AA3"/>
    <mergeCell ref="V4:W4"/>
    <mergeCell ref="X4:Y4"/>
    <mergeCell ref="Z4:AA4"/>
    <mergeCell ref="A8:U8"/>
    <mergeCell ref="B2:B5"/>
    <mergeCell ref="K2:O2"/>
    <mergeCell ref="P2:P4"/>
    <mergeCell ref="R2:S4"/>
    <mergeCell ref="T2:U4"/>
    <mergeCell ref="K3:M3"/>
    <mergeCell ref="N3:O4"/>
    <mergeCell ref="K4:K5"/>
    <mergeCell ref="L4:M4"/>
    <mergeCell ref="A2:A5"/>
    <mergeCell ref="C2:C5"/>
    <mergeCell ref="D2:D5"/>
    <mergeCell ref="Q2:Q4"/>
    <mergeCell ref="E2:F4"/>
  </mergeCells>
  <printOptions horizontalCentered="1" verticalCentered="1"/>
  <pageMargins left="0.70866141732283472" right="0.70866141732283472" top="0.74803149606299213" bottom="0.74803149606299213" header="0.31496062992125984" footer="0.31496062992125984"/>
  <pageSetup paperSize="9"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129"/>
  <sheetViews>
    <sheetView view="pageBreakPreview" zoomScaleNormal="100" zoomScaleSheetLayoutView="100" workbookViewId="0">
      <pane xSplit="2" ySplit="5" topLeftCell="C17" activePane="bottomRight" state="frozen"/>
      <selection activeCell="A27" sqref="A27:AA27"/>
      <selection pane="topRight" activeCell="A27" sqref="A27:AA27"/>
      <selection pane="bottomLeft" activeCell="A27" sqref="A27:AA27"/>
      <selection pane="bottomRight" activeCell="E56" sqref="E56"/>
    </sheetView>
  </sheetViews>
  <sheetFormatPr defaultColWidth="8.85546875" defaultRowHeight="15" x14ac:dyDescent="0.25"/>
  <cols>
    <col min="1" max="1" width="9.28515625" bestFit="1" customWidth="1"/>
    <col min="2" max="2" width="40.28515625" customWidth="1"/>
    <col min="3" max="3" width="18.140625" customWidth="1"/>
    <col min="4" max="4" width="1.140625" customWidth="1"/>
    <col min="5" max="6" width="15" style="283" customWidth="1"/>
    <col min="7" max="7" width="11.140625" style="283" bestFit="1" customWidth="1"/>
    <col min="8" max="8" width="13.140625" style="283" customWidth="1"/>
    <col min="9" max="9" width="12.7109375" style="283" customWidth="1"/>
    <col min="10" max="10" width="13.42578125" style="283" bestFit="1" customWidth="1"/>
    <col min="11" max="11" width="13" style="168" customWidth="1"/>
    <col min="12" max="12" width="15.5703125" style="10" customWidth="1"/>
    <col min="13" max="13" width="9.5703125" style="8" customWidth="1"/>
    <col min="14" max="14" width="13.42578125" style="10" customWidth="1"/>
    <col min="15" max="15" width="15.28515625" style="10" bestFit="1" customWidth="1"/>
    <col min="16" max="16" width="13.42578125" style="9" customWidth="1"/>
    <col min="17" max="17" width="10.85546875" style="8" customWidth="1"/>
    <col min="18" max="18" width="13.28515625" style="8" customWidth="1"/>
    <col min="19" max="19" width="8.28515625" style="8" customWidth="1"/>
    <col min="20" max="20" width="11" customWidth="1"/>
    <col min="21" max="21" width="17.85546875" style="23" bestFit="1" customWidth="1"/>
    <col min="22" max="23" width="14.42578125" style="23" bestFit="1" customWidth="1"/>
    <col min="24" max="16384" width="8.85546875" style="23"/>
  </cols>
  <sheetData>
    <row r="1" spans="1:21" x14ac:dyDescent="0.25">
      <c r="A1" s="796" t="s">
        <v>704</v>
      </c>
      <c r="B1" s="796"/>
      <c r="C1" s="796"/>
      <c r="D1" s="796"/>
      <c r="E1" s="796"/>
      <c r="F1" s="796"/>
      <c r="G1" s="796"/>
      <c r="H1" s="796"/>
      <c r="I1" s="796"/>
      <c r="J1" s="796"/>
      <c r="K1" s="796"/>
      <c r="L1" s="796"/>
      <c r="M1" s="796"/>
      <c r="N1" s="796"/>
      <c r="O1" s="796"/>
      <c r="P1" s="796"/>
      <c r="Q1" s="796"/>
      <c r="R1" s="796"/>
      <c r="S1" s="796"/>
      <c r="T1" s="796"/>
    </row>
    <row r="2" spans="1:21" s="286" customFormat="1" ht="24" customHeight="1" x14ac:dyDescent="0.25">
      <c r="A2" s="772" t="s">
        <v>115</v>
      </c>
      <c r="B2" s="772" t="s">
        <v>0</v>
      </c>
      <c r="C2" s="779" t="s">
        <v>697</v>
      </c>
      <c r="D2" s="780"/>
      <c r="E2" s="780"/>
      <c r="F2" s="780"/>
      <c r="G2" s="780"/>
      <c r="H2" s="780"/>
      <c r="I2" s="781"/>
      <c r="J2" s="845" t="s">
        <v>516</v>
      </c>
      <c r="K2" s="849"/>
      <c r="L2" s="818" t="s">
        <v>515</v>
      </c>
      <c r="M2" s="818" t="s">
        <v>502</v>
      </c>
      <c r="N2" s="818" t="s">
        <v>702</v>
      </c>
      <c r="O2" s="845" t="s">
        <v>703</v>
      </c>
      <c r="P2" s="846"/>
      <c r="Q2" s="846"/>
      <c r="R2" s="846"/>
      <c r="S2" s="846"/>
      <c r="T2" s="846"/>
    </row>
    <row r="3" spans="1:21" s="286" customFormat="1" ht="24" customHeight="1" x14ac:dyDescent="0.25">
      <c r="A3" s="773"/>
      <c r="B3" s="773"/>
      <c r="C3" s="782" t="s">
        <v>759</v>
      </c>
      <c r="D3" s="786"/>
      <c r="E3" s="783" t="s">
        <v>514</v>
      </c>
      <c r="F3" s="784"/>
      <c r="G3" s="785" t="s">
        <v>750</v>
      </c>
      <c r="H3" s="785" t="s">
        <v>751</v>
      </c>
      <c r="I3" s="851" t="s">
        <v>512</v>
      </c>
      <c r="J3" s="847"/>
      <c r="K3" s="850"/>
      <c r="L3" s="782"/>
      <c r="M3" s="782"/>
      <c r="N3" s="782"/>
      <c r="O3" s="847"/>
      <c r="P3" s="848"/>
      <c r="Q3" s="848"/>
      <c r="R3" s="848"/>
      <c r="S3" s="848"/>
      <c r="T3" s="848"/>
    </row>
    <row r="4" spans="1:21" s="286" customFormat="1" ht="40.5" customHeight="1" x14ac:dyDescent="0.25">
      <c r="A4" s="773"/>
      <c r="B4" s="773"/>
      <c r="C4" s="782"/>
      <c r="D4" s="787"/>
      <c r="E4" s="600" t="s">
        <v>748</v>
      </c>
      <c r="F4" s="600" t="s">
        <v>513</v>
      </c>
      <c r="G4" s="785"/>
      <c r="H4" s="785"/>
      <c r="I4" s="852"/>
      <c r="J4" s="563" t="s">
        <v>1</v>
      </c>
      <c r="K4" s="167" t="s">
        <v>2</v>
      </c>
      <c r="L4" s="818"/>
      <c r="M4" s="818"/>
      <c r="N4" s="818"/>
      <c r="O4" s="167" t="s">
        <v>1</v>
      </c>
      <c r="P4" s="121" t="s">
        <v>473</v>
      </c>
      <c r="Q4" s="204" t="s">
        <v>419</v>
      </c>
      <c r="R4" s="599" t="s">
        <v>756</v>
      </c>
      <c r="S4" s="599" t="s">
        <v>419</v>
      </c>
      <c r="T4" s="70" t="s">
        <v>420</v>
      </c>
    </row>
    <row r="5" spans="1:21" s="286" customFormat="1" ht="17.25" customHeight="1" x14ac:dyDescent="0.25">
      <c r="A5" s="774"/>
      <c r="B5" s="774"/>
      <c r="C5" s="782"/>
      <c r="D5" s="788"/>
      <c r="E5" s="600" t="s">
        <v>305</v>
      </c>
      <c r="F5" s="600" t="s">
        <v>306</v>
      </c>
      <c r="G5" s="615" t="s">
        <v>307</v>
      </c>
      <c r="H5" s="615" t="s">
        <v>749</v>
      </c>
      <c r="I5" s="602" t="s">
        <v>309</v>
      </c>
      <c r="J5" s="615" t="s">
        <v>517</v>
      </c>
      <c r="K5" s="602" t="s">
        <v>642</v>
      </c>
      <c r="L5" s="602" t="s">
        <v>310</v>
      </c>
      <c r="M5" s="261" t="s">
        <v>752</v>
      </c>
      <c r="N5" s="632" t="s">
        <v>518</v>
      </c>
      <c r="O5" s="121" t="s">
        <v>753</v>
      </c>
      <c r="P5" s="121" t="s">
        <v>741</v>
      </c>
      <c r="Q5" s="204" t="s">
        <v>754</v>
      </c>
      <c r="R5" s="602" t="s">
        <v>755</v>
      </c>
      <c r="S5" s="602" t="s">
        <v>758</v>
      </c>
      <c r="T5" s="204" t="s">
        <v>757</v>
      </c>
    </row>
    <row r="6" spans="1:21" x14ac:dyDescent="0.25">
      <c r="A6" s="95" t="s">
        <v>130</v>
      </c>
      <c r="B6" s="64" t="s">
        <v>3</v>
      </c>
      <c r="C6" s="646">
        <v>865731</v>
      </c>
      <c r="D6" s="789"/>
      <c r="E6" s="616">
        <v>1739927.662</v>
      </c>
      <c r="F6" s="616">
        <v>1305600</v>
      </c>
      <c r="G6" s="590"/>
      <c r="H6" s="616">
        <f>E6+G6</f>
        <v>1739927.662</v>
      </c>
      <c r="I6" s="404"/>
      <c r="J6" s="623">
        <v>2720000</v>
      </c>
      <c r="K6" s="575">
        <v>619844.99</v>
      </c>
      <c r="L6" s="163">
        <f>' M01-M02'!M6+K6</f>
        <v>2397371.37</v>
      </c>
      <c r="M6" s="65">
        <f>L6/E6</f>
        <v>1.3778569203528188</v>
      </c>
      <c r="N6" s="269">
        <v>619844.99</v>
      </c>
      <c r="O6" s="269">
        <f>P6+' M01-M02'!U7</f>
        <v>619844.99</v>
      </c>
      <c r="P6" s="269">
        <v>619844.99</v>
      </c>
      <c r="Q6" s="65">
        <f>O6/E6</f>
        <v>0.35624756335415969</v>
      </c>
      <c r="R6" s="631">
        <f>O6</f>
        <v>619844.99</v>
      </c>
      <c r="S6" s="633">
        <f>R6/H6</f>
        <v>0.35624756335415969</v>
      </c>
      <c r="T6" s="163">
        <f>O6-N6</f>
        <v>0</v>
      </c>
    </row>
    <row r="7" spans="1:21" ht="22.5" x14ac:dyDescent="0.25">
      <c r="A7" s="95" t="s">
        <v>131</v>
      </c>
      <c r="B7" s="64" t="s">
        <v>5</v>
      </c>
      <c r="C7" s="646">
        <v>578148</v>
      </c>
      <c r="D7" s="790"/>
      <c r="E7" s="616">
        <v>2831480.9000000004</v>
      </c>
      <c r="F7" s="616">
        <v>1680000</v>
      </c>
      <c r="G7" s="590"/>
      <c r="H7" s="616">
        <f t="shared" ref="H7:H57" si="0">E7+G7</f>
        <v>2831480.9000000004</v>
      </c>
      <c r="I7" s="404"/>
      <c r="J7" s="624">
        <v>3500000</v>
      </c>
      <c r="K7" s="609">
        <v>41741.660000000003</v>
      </c>
      <c r="L7" s="85">
        <f>K7+' M01-M02'!M16</f>
        <v>2783713.41</v>
      </c>
      <c r="M7" s="65">
        <f>L7/E7</f>
        <v>0.98312985618232485</v>
      </c>
      <c r="N7" s="105">
        <v>692219.78</v>
      </c>
      <c r="O7" s="105">
        <f>P7+' M01-M02'!U16</f>
        <v>902156.6</v>
      </c>
      <c r="P7" s="284">
        <v>41741.660000000003</v>
      </c>
      <c r="Q7" s="65">
        <f>O7/E7</f>
        <v>0.31861652324760514</v>
      </c>
      <c r="R7" s="631">
        <v>902156.6</v>
      </c>
      <c r="S7" s="633">
        <f t="shared" ref="S7:S57" si="1">R7/H7</f>
        <v>0.31861652324760514</v>
      </c>
      <c r="T7" s="163">
        <f t="shared" ref="T7:T14" si="2">O7-N7</f>
        <v>209936.81999999995</v>
      </c>
    </row>
    <row r="8" spans="1:21" x14ac:dyDescent="0.25">
      <c r="A8" s="95" t="s">
        <v>132</v>
      </c>
      <c r="B8" s="64" t="s">
        <v>7</v>
      </c>
      <c r="C8" s="775">
        <v>208162</v>
      </c>
      <c r="D8" s="790"/>
      <c r="E8" s="616">
        <v>1299579.1285714286</v>
      </c>
      <c r="F8" s="616">
        <v>652800</v>
      </c>
      <c r="G8" s="590"/>
      <c r="H8" s="616">
        <f t="shared" si="0"/>
        <v>1299579.1285714286</v>
      </c>
      <c r="I8" s="404"/>
      <c r="J8" s="625">
        <v>1360000</v>
      </c>
      <c r="K8" s="610">
        <v>7826.93</v>
      </c>
      <c r="L8" s="119">
        <f>K8+'M03'!M14</f>
        <v>1797663.3499999999</v>
      </c>
      <c r="M8" s="65">
        <f>L8/E8</f>
        <v>1.3832657900378054</v>
      </c>
      <c r="N8" s="105">
        <v>1106232.3400000001</v>
      </c>
      <c r="O8" s="105">
        <f>P8+'M03'!U14</f>
        <v>1159480.07</v>
      </c>
      <c r="P8" s="269">
        <v>7826.93</v>
      </c>
      <c r="Q8" s="65">
        <f>O8/E8</f>
        <v>0.89219659234952986</v>
      </c>
      <c r="R8" s="631">
        <v>1159480.07</v>
      </c>
      <c r="S8" s="633">
        <f t="shared" si="1"/>
        <v>0.89219659234952986</v>
      </c>
      <c r="T8" s="163">
        <f>O8-N8</f>
        <v>53247.729999999981</v>
      </c>
      <c r="U8" s="582"/>
    </row>
    <row r="9" spans="1:21" ht="33.75" x14ac:dyDescent="0.25">
      <c r="A9" s="95" t="s">
        <v>133</v>
      </c>
      <c r="B9" s="64" t="s">
        <v>8</v>
      </c>
      <c r="C9" s="775"/>
      <c r="D9" s="790"/>
      <c r="E9" s="616">
        <v>1383579.719047619</v>
      </c>
      <c r="F9" s="616">
        <v>736800</v>
      </c>
      <c r="G9" s="590"/>
      <c r="H9" s="616">
        <f t="shared" si="0"/>
        <v>1383579.719047619</v>
      </c>
      <c r="I9" s="404"/>
      <c r="J9" s="624">
        <v>1535000</v>
      </c>
      <c r="K9" s="610">
        <v>107786.69</v>
      </c>
      <c r="L9" s="119">
        <f>K9+'M03'!M25</f>
        <v>1677660.08</v>
      </c>
      <c r="M9" s="65">
        <f>L9/E9</f>
        <v>1.2125503553599426</v>
      </c>
      <c r="N9" s="105">
        <v>899034.82000000007</v>
      </c>
      <c r="O9" s="105">
        <f>P9+'M03'!U25</f>
        <v>955176.91999999993</v>
      </c>
      <c r="P9" s="269">
        <v>107786.69</v>
      </c>
      <c r="Q9" s="65">
        <f>O9/E9</f>
        <v>0.69036637849642069</v>
      </c>
      <c r="R9" s="631">
        <v>955176.91999999993</v>
      </c>
      <c r="S9" s="633">
        <f t="shared" si="1"/>
        <v>0.69036637849642069</v>
      </c>
      <c r="T9" s="163">
        <f t="shared" si="2"/>
        <v>56142.09999999986</v>
      </c>
    </row>
    <row r="10" spans="1:21" x14ac:dyDescent="0.25">
      <c r="A10" s="95" t="s">
        <v>134</v>
      </c>
      <c r="B10" s="64" t="s">
        <v>10</v>
      </c>
      <c r="C10" s="775">
        <v>27372316</v>
      </c>
      <c r="D10" s="790"/>
      <c r="E10" s="616">
        <v>191834487.60678571</v>
      </c>
      <c r="F10" s="616">
        <v>95711287.022399992</v>
      </c>
      <c r="G10" s="590">
        <v>6227346.3799999999</v>
      </c>
      <c r="H10" s="616">
        <f t="shared" si="0"/>
        <v>198061833.98678571</v>
      </c>
      <c r="I10" s="591">
        <v>6200000</v>
      </c>
      <c r="J10" s="626">
        <f>E10+G10+I10</f>
        <v>204261833.98678571</v>
      </c>
      <c r="K10" s="610">
        <v>15630581.379999999</v>
      </c>
      <c r="L10" s="119">
        <f>K10+'M04'!M12</f>
        <v>233240927.70000005</v>
      </c>
      <c r="M10" s="65">
        <f>L10/(E10+G10+I10)</f>
        <v>1.1418722878748317</v>
      </c>
      <c r="N10" s="105">
        <v>168674087.27249983</v>
      </c>
      <c r="O10" s="105">
        <f>P10+'M04'!U12</f>
        <v>176004824.84999985</v>
      </c>
      <c r="P10" s="280">
        <v>15630581.379999999</v>
      </c>
      <c r="Q10" s="65">
        <f>O10/(E10+G10+I10)</f>
        <v>0.86166280511016125</v>
      </c>
      <c r="R10" s="631">
        <v>176004824.84999985</v>
      </c>
      <c r="S10" s="633">
        <f t="shared" si="1"/>
        <v>0.88863574221847574</v>
      </c>
      <c r="T10" s="163">
        <f>O10-N10</f>
        <v>7330737.5775000155</v>
      </c>
    </row>
    <row r="11" spans="1:21" ht="33.75" x14ac:dyDescent="0.25">
      <c r="A11" s="95" t="s">
        <v>135</v>
      </c>
      <c r="B11" s="64" t="s">
        <v>11</v>
      </c>
      <c r="C11" s="775"/>
      <c r="D11" s="790"/>
      <c r="E11" s="616">
        <v>42472910.20000001</v>
      </c>
      <c r="F11" s="616">
        <v>20952000</v>
      </c>
      <c r="G11" s="590"/>
      <c r="H11" s="616">
        <f t="shared" si="0"/>
        <v>42472910.20000001</v>
      </c>
      <c r="I11" s="591"/>
      <c r="J11" s="626">
        <v>43650000</v>
      </c>
      <c r="K11" s="610">
        <v>2165296.3600000003</v>
      </c>
      <c r="L11" s="119">
        <f>K11+'M04'!M23</f>
        <v>54098529.479999997</v>
      </c>
      <c r="M11" s="65">
        <f>L11/E11</f>
        <v>1.2737184531329804</v>
      </c>
      <c r="N11" s="284">
        <v>38707988.120000005</v>
      </c>
      <c r="O11" s="284">
        <f>P11+'M04'!U23</f>
        <v>39406440.25</v>
      </c>
      <c r="P11" s="280">
        <v>2165296.3600000003</v>
      </c>
      <c r="Q11" s="65">
        <f>O11/E11</f>
        <v>0.92780174620574951</v>
      </c>
      <c r="R11" s="631">
        <v>39406440.25</v>
      </c>
      <c r="S11" s="633">
        <f t="shared" si="1"/>
        <v>0.92780174620574951</v>
      </c>
      <c r="T11" s="163">
        <f t="shared" si="2"/>
        <v>698452.12999999523</v>
      </c>
    </row>
    <row r="12" spans="1:21" ht="22.5" x14ac:dyDescent="0.25">
      <c r="A12" s="821" t="s">
        <v>136</v>
      </c>
      <c r="B12" s="64" t="s">
        <v>12</v>
      </c>
      <c r="C12" s="775"/>
      <c r="D12" s="790"/>
      <c r="E12" s="616">
        <v>36550598.583333336</v>
      </c>
      <c r="F12" s="616">
        <v>19680000</v>
      </c>
      <c r="G12" s="590"/>
      <c r="H12" s="616">
        <f t="shared" si="0"/>
        <v>36550598.583333336</v>
      </c>
      <c r="I12" s="591">
        <v>5000000</v>
      </c>
      <c r="J12" s="626">
        <v>41000000</v>
      </c>
      <c r="K12" s="610">
        <v>6599358.8000000017</v>
      </c>
      <c r="L12" s="119">
        <f>K12+'M04'!M30</f>
        <v>49540992.230000027</v>
      </c>
      <c r="M12" s="65">
        <f>L12/(E12+G12+I12)</f>
        <v>1.1923051392542821</v>
      </c>
      <c r="N12" s="280">
        <v>22312514.050000008</v>
      </c>
      <c r="O12" s="280">
        <f>'M04'!U30+P12</f>
        <v>26756742.860000014</v>
      </c>
      <c r="P12" s="280">
        <v>6599358.8000000017</v>
      </c>
      <c r="Q12" s="65">
        <f>O12/(E12+G12+I12)</f>
        <v>0.64395565340261085</v>
      </c>
      <c r="R12" s="631">
        <v>26756742.860000014</v>
      </c>
      <c r="S12" s="633">
        <f t="shared" si="1"/>
        <v>0.7320466393729812</v>
      </c>
      <c r="T12" s="163">
        <f>O12-N12</f>
        <v>4444228.8100000061</v>
      </c>
    </row>
    <row r="13" spans="1:21" x14ac:dyDescent="0.25">
      <c r="A13" s="821"/>
      <c r="B13" s="64" t="s">
        <v>13</v>
      </c>
      <c r="C13" s="775"/>
      <c r="D13" s="790"/>
      <c r="E13" s="616">
        <v>12136090.719047619</v>
      </c>
      <c r="F13" s="616">
        <v>7200000</v>
      </c>
      <c r="G13" s="590"/>
      <c r="H13" s="616">
        <f t="shared" si="0"/>
        <v>12136090.719047619</v>
      </c>
      <c r="I13" s="404"/>
      <c r="J13" s="627">
        <v>15000000</v>
      </c>
      <c r="K13" s="610">
        <v>214886.96</v>
      </c>
      <c r="L13" s="413">
        <f>K13+'M04'!M31+'M04'!M32</f>
        <v>8655082.3900000006</v>
      </c>
      <c r="M13" s="65">
        <f>L13/E13</f>
        <v>0.71316889353964952</v>
      </c>
      <c r="N13" s="280">
        <v>2971581.0199999996</v>
      </c>
      <c r="O13" s="280">
        <f>'M04'!U31+P13+'M04'!U32</f>
        <v>3797699.45</v>
      </c>
      <c r="P13" s="280">
        <v>214886.96</v>
      </c>
      <c r="Q13" s="65">
        <f>O13/(E13+G13+I13)</f>
        <v>0.31292609275238059</v>
      </c>
      <c r="R13" s="631">
        <v>3797699.45</v>
      </c>
      <c r="S13" s="633">
        <f t="shared" si="1"/>
        <v>0.31292609275238059</v>
      </c>
      <c r="T13" s="163">
        <f>O13-N13</f>
        <v>826118.43000000063</v>
      </c>
    </row>
    <row r="14" spans="1:21" x14ac:dyDescent="0.25">
      <c r="A14" s="95" t="s">
        <v>137</v>
      </c>
      <c r="B14" s="64" t="s">
        <v>15</v>
      </c>
      <c r="C14" s="775">
        <v>2266948</v>
      </c>
      <c r="D14" s="790"/>
      <c r="E14" s="617">
        <v>2622923.6976190475</v>
      </c>
      <c r="F14" s="618">
        <v>1440000</v>
      </c>
      <c r="G14" s="592"/>
      <c r="H14" s="620">
        <f t="shared" si="0"/>
        <v>2622923.6976190475</v>
      </c>
      <c r="I14" s="581"/>
      <c r="J14" s="627">
        <v>3000000</v>
      </c>
      <c r="K14" s="610">
        <v>0</v>
      </c>
      <c r="L14" s="119">
        <f>K14+'M05'!M8</f>
        <v>1964949.83</v>
      </c>
      <c r="M14" s="65">
        <f>L14/E14</f>
        <v>0.74914486905725797</v>
      </c>
      <c r="N14" s="284">
        <v>1416279.5299999998</v>
      </c>
      <c r="O14" s="284">
        <f>P14+'M05'!U8</f>
        <v>1416279.5299999998</v>
      </c>
      <c r="P14" s="284">
        <v>0</v>
      </c>
      <c r="Q14" s="65">
        <f>O14/(E14+G14+I14)</f>
        <v>0.53996215417384197</v>
      </c>
      <c r="R14" s="631">
        <v>1416279.5299999998</v>
      </c>
      <c r="S14" s="633">
        <f t="shared" si="1"/>
        <v>0.53996215417384197</v>
      </c>
      <c r="T14" s="163">
        <f t="shared" si="2"/>
        <v>0</v>
      </c>
    </row>
    <row r="15" spans="1:21" x14ac:dyDescent="0.25">
      <c r="A15" s="95" t="s">
        <v>138</v>
      </c>
      <c r="B15" s="64" t="s">
        <v>16</v>
      </c>
      <c r="C15" s="775"/>
      <c r="D15" s="790"/>
      <c r="E15" s="619">
        <v>14247831.611904765</v>
      </c>
      <c r="F15" s="619">
        <v>7141482.7199999997</v>
      </c>
      <c r="G15" s="590"/>
      <c r="H15" s="620">
        <f t="shared" si="0"/>
        <v>14247831.611904765</v>
      </c>
      <c r="I15" s="581">
        <v>1200000</v>
      </c>
      <c r="J15" s="628">
        <v>14878089</v>
      </c>
      <c r="K15" s="610">
        <v>9372402.4800000098</v>
      </c>
      <c r="L15" s="414">
        <f>K15+'M05'!M19</f>
        <v>16087747.910000011</v>
      </c>
      <c r="M15" s="65">
        <f>L15/(E15+G15+I15)</f>
        <v>1.0414243444757709</v>
      </c>
      <c r="N15" s="284">
        <v>12231007.97000001</v>
      </c>
      <c r="O15" s="284">
        <f>P15+'M05'!U19</f>
        <v>12572371.64000001</v>
      </c>
      <c r="P15" s="269">
        <v>9372402.4800000098</v>
      </c>
      <c r="Q15" s="65">
        <f>O15/(E15+G15+I15)</f>
        <v>0.81385996144023209</v>
      </c>
      <c r="R15" s="631">
        <v>12572371.64000001</v>
      </c>
      <c r="S15" s="633">
        <f t="shared" si="1"/>
        <v>0.88240596762072721</v>
      </c>
      <c r="T15" s="163">
        <f t="shared" ref="T15:T58" si="3">O15-N15</f>
        <v>341363.66999999993</v>
      </c>
    </row>
    <row r="16" spans="1:21" ht="22.5" x14ac:dyDescent="0.25">
      <c r="A16" s="95" t="s">
        <v>139</v>
      </c>
      <c r="B16" s="64" t="s">
        <v>18</v>
      </c>
      <c r="C16" s="775">
        <v>11300000</v>
      </c>
      <c r="D16" s="790"/>
      <c r="E16" s="617">
        <v>62271428.571428575</v>
      </c>
      <c r="F16" s="617">
        <v>29664000</v>
      </c>
      <c r="G16" s="406">
        <v>28000000</v>
      </c>
      <c r="H16" s="616">
        <f t="shared" si="0"/>
        <v>90271428.571428567</v>
      </c>
      <c r="I16" s="405">
        <v>11300000</v>
      </c>
      <c r="J16" s="627">
        <f>61800000+G16+I16</f>
        <v>101100000</v>
      </c>
      <c r="K16" s="610">
        <v>420000</v>
      </c>
      <c r="L16" s="119">
        <f>K16+'M06'!M9</f>
        <v>102045000</v>
      </c>
      <c r="M16" s="65">
        <f>L16/(E16+G16+I16)</f>
        <v>1.004662447257384</v>
      </c>
      <c r="N16" s="284">
        <v>80758474.900000006</v>
      </c>
      <c r="O16" s="284">
        <f>P16+'M06'!U9</f>
        <v>84055474.900000006</v>
      </c>
      <c r="P16" s="86">
        <v>420000</v>
      </c>
      <c r="Q16" s="65">
        <f>O16/(E16+G16+I16)</f>
        <v>0.82755038579465556</v>
      </c>
      <c r="R16" s="631">
        <v>84055474.900000006</v>
      </c>
      <c r="S16" s="633">
        <f t="shared" si="1"/>
        <v>0.93114151653742694</v>
      </c>
      <c r="T16" s="163">
        <f t="shared" si="3"/>
        <v>3297000</v>
      </c>
    </row>
    <row r="17" spans="1:22" ht="22.5" x14ac:dyDescent="0.25">
      <c r="A17" s="95" t="s">
        <v>140</v>
      </c>
      <c r="B17" s="64" t="s">
        <v>19</v>
      </c>
      <c r="C17" s="775"/>
      <c r="D17" s="790"/>
      <c r="E17" s="617">
        <v>6092857.1428571427</v>
      </c>
      <c r="F17" s="617">
        <v>3120000</v>
      </c>
      <c r="G17" s="410"/>
      <c r="H17" s="617">
        <f t="shared" si="0"/>
        <v>6092857.1428571427</v>
      </c>
      <c r="I17" s="408"/>
      <c r="J17" s="627">
        <v>6500000</v>
      </c>
      <c r="K17" s="610">
        <v>0</v>
      </c>
      <c r="L17" s="119">
        <f>K17+'M06'!M17</f>
        <v>6350000</v>
      </c>
      <c r="M17" s="65">
        <f t="shared" ref="M17:M25" si="4">L17/E17</f>
        <v>1.0422039859320047</v>
      </c>
      <c r="N17" s="284">
        <v>4790000</v>
      </c>
      <c r="O17" s="284">
        <f>P17+'M06'!U17</f>
        <v>5075000</v>
      </c>
      <c r="P17" s="269">
        <v>0</v>
      </c>
      <c r="Q17" s="65">
        <f t="shared" ref="Q17:Q25" si="5">O17/E17</f>
        <v>0.83294255568581477</v>
      </c>
      <c r="R17" s="631">
        <v>5075000</v>
      </c>
      <c r="S17" s="633">
        <f t="shared" si="1"/>
        <v>0.83294255568581477</v>
      </c>
      <c r="T17" s="163">
        <f t="shared" si="3"/>
        <v>285000</v>
      </c>
    </row>
    <row r="18" spans="1:22" ht="33.75" x14ac:dyDescent="0.25">
      <c r="A18" s="821" t="s">
        <v>141</v>
      </c>
      <c r="B18" s="64" t="s">
        <v>20</v>
      </c>
      <c r="C18" s="775"/>
      <c r="D18" s="790"/>
      <c r="E18" s="617">
        <v>6662484.3214285718</v>
      </c>
      <c r="F18" s="617">
        <v>3360000</v>
      </c>
      <c r="G18" s="410"/>
      <c r="H18" s="617">
        <f t="shared" si="0"/>
        <v>6662484.3214285718</v>
      </c>
      <c r="I18" s="408"/>
      <c r="J18" s="627">
        <v>7000000</v>
      </c>
      <c r="K18" s="610">
        <v>1282212.0900000001</v>
      </c>
      <c r="L18" s="119">
        <f>K18+'M06'!M25</f>
        <v>6995398.1600000001</v>
      </c>
      <c r="M18" s="65">
        <f t="shared" si="4"/>
        <v>1.0499684235654674</v>
      </c>
      <c r="N18" s="284">
        <v>5583082.0299999993</v>
      </c>
      <c r="O18" s="284">
        <f>P18+'M06'!U25+'M06'!U26</f>
        <v>5647973.9399999995</v>
      </c>
      <c r="P18" s="285">
        <f>1333522.09-51310</f>
        <v>1282212.0900000001</v>
      </c>
      <c r="Q18" s="65">
        <f t="shared" si="5"/>
        <v>0.84772791462103725</v>
      </c>
      <c r="R18" s="631">
        <v>5647973.9399999995</v>
      </c>
      <c r="S18" s="633">
        <f t="shared" si="1"/>
        <v>0.84772791462103725</v>
      </c>
      <c r="T18" s="163">
        <f t="shared" si="3"/>
        <v>64891.910000000149</v>
      </c>
    </row>
    <row r="19" spans="1:22" ht="22.5" x14ac:dyDescent="0.25">
      <c r="A19" s="821"/>
      <c r="B19" s="64" t="s">
        <v>21</v>
      </c>
      <c r="C19" s="775"/>
      <c r="D19" s="790"/>
      <c r="E19" s="617">
        <v>5596076.6470238091</v>
      </c>
      <c r="F19" s="617">
        <v>2880000</v>
      </c>
      <c r="G19" s="410"/>
      <c r="H19" s="617">
        <f t="shared" si="0"/>
        <v>5596076.6470238091</v>
      </c>
      <c r="I19" s="408"/>
      <c r="J19" s="627">
        <v>6000000</v>
      </c>
      <c r="K19" s="610">
        <v>0</v>
      </c>
      <c r="L19" s="119">
        <f>K19+'M06'!M27</f>
        <v>5961663.3899999997</v>
      </c>
      <c r="M19" s="65">
        <f t="shared" si="4"/>
        <v>1.0653291164570846</v>
      </c>
      <c r="N19" s="284">
        <v>4425227.42</v>
      </c>
      <c r="O19" s="284">
        <f>P19+'M06'!U27</f>
        <v>4418800.96</v>
      </c>
      <c r="P19" s="269">
        <v>0</v>
      </c>
      <c r="Q19" s="65">
        <f t="shared" si="5"/>
        <v>0.78962481015160402</v>
      </c>
      <c r="R19" s="631">
        <v>4418800.96</v>
      </c>
      <c r="S19" s="633">
        <f t="shared" si="1"/>
        <v>0.78962481015160402</v>
      </c>
      <c r="T19" s="163">
        <f t="shared" si="3"/>
        <v>-6426.4599999999627</v>
      </c>
    </row>
    <row r="20" spans="1:22" ht="33.75" x14ac:dyDescent="0.25">
      <c r="A20" s="95" t="s">
        <v>142</v>
      </c>
      <c r="B20" s="66" t="s">
        <v>23</v>
      </c>
      <c r="C20" s="776">
        <v>823706</v>
      </c>
      <c r="D20" s="790"/>
      <c r="E20" s="617">
        <v>136596.82285714286</v>
      </c>
      <c r="F20" s="617">
        <v>86055.998399999997</v>
      </c>
      <c r="G20" s="410"/>
      <c r="H20" s="617">
        <f t="shared" si="0"/>
        <v>136596.82285714286</v>
      </c>
      <c r="I20" s="408"/>
      <c r="J20" s="627">
        <v>179283</v>
      </c>
      <c r="K20" s="610">
        <v>0</v>
      </c>
      <c r="L20" s="119">
        <f>K20+'M07'!M7</f>
        <v>179282.68</v>
      </c>
      <c r="M20" s="65">
        <f t="shared" si="4"/>
        <v>1.3124952414705817</v>
      </c>
      <c r="N20" s="284">
        <v>0</v>
      </c>
      <c r="O20" s="284">
        <f>P20+'M07'!U7</f>
        <v>0</v>
      </c>
      <c r="P20" s="269">
        <v>0</v>
      </c>
      <c r="Q20" s="65">
        <f t="shared" si="5"/>
        <v>0</v>
      </c>
      <c r="R20" s="631">
        <v>0</v>
      </c>
      <c r="S20" s="633">
        <f t="shared" si="1"/>
        <v>0</v>
      </c>
      <c r="T20" s="163">
        <f t="shared" si="3"/>
        <v>0</v>
      </c>
    </row>
    <row r="21" spans="1:22" ht="33.75" x14ac:dyDescent="0.25">
      <c r="A21" s="95" t="s">
        <v>143</v>
      </c>
      <c r="B21" s="66" t="s">
        <v>24</v>
      </c>
      <c r="C21" s="776"/>
      <c r="D21" s="790"/>
      <c r="E21" s="616">
        <v>857142.85714285716</v>
      </c>
      <c r="F21" s="616">
        <v>540000</v>
      </c>
      <c r="G21" s="406"/>
      <c r="H21" s="616">
        <f t="shared" si="0"/>
        <v>857142.85714285716</v>
      </c>
      <c r="I21" s="405"/>
      <c r="J21" s="623">
        <v>1125000</v>
      </c>
      <c r="K21" s="610">
        <v>0</v>
      </c>
      <c r="L21" s="119">
        <f>K21+'M07'!M16</f>
        <v>2416912.62</v>
      </c>
      <c r="M21" s="65">
        <f t="shared" si="4"/>
        <v>2.8197313900000003</v>
      </c>
      <c r="N21" s="284">
        <v>0</v>
      </c>
      <c r="O21" s="284">
        <f>P21+'M07'!U16</f>
        <v>85835.44</v>
      </c>
      <c r="P21" s="269">
        <v>0</v>
      </c>
      <c r="Q21" s="65">
        <f t="shared" si="5"/>
        <v>0.10014134666666667</v>
      </c>
      <c r="R21" s="631">
        <v>85835.44</v>
      </c>
      <c r="S21" s="633">
        <f>R21/H21</f>
        <v>0.10014134666666667</v>
      </c>
      <c r="T21" s="163">
        <f t="shared" si="3"/>
        <v>85835.44</v>
      </c>
    </row>
    <row r="22" spans="1:22" x14ac:dyDescent="0.25">
      <c r="A22" s="95" t="s">
        <v>144</v>
      </c>
      <c r="B22" s="64" t="s">
        <v>25</v>
      </c>
      <c r="C22" s="776"/>
      <c r="D22" s="790"/>
      <c r="E22" s="617">
        <v>40245810.669047616</v>
      </c>
      <c r="F22" s="617">
        <v>20362937.279999997</v>
      </c>
      <c r="G22" s="410"/>
      <c r="H22" s="617">
        <f t="shared" si="0"/>
        <v>40245810.669047616</v>
      </c>
      <c r="I22" s="408"/>
      <c r="J22" s="627">
        <v>42422786</v>
      </c>
      <c r="K22" s="611">
        <v>25170120.109999999</v>
      </c>
      <c r="L22" s="119">
        <f>K22+'M07'!M24</f>
        <v>41388859.109999999</v>
      </c>
      <c r="M22" s="65">
        <f t="shared" si="4"/>
        <v>1.0284016751545144</v>
      </c>
      <c r="N22" s="284">
        <v>33279489.609999999</v>
      </c>
      <c r="O22" s="284">
        <f>P22+'M07'!U24</f>
        <v>33279489.609999999</v>
      </c>
      <c r="P22" s="51">
        <v>25170120.109999999</v>
      </c>
      <c r="Q22" s="65">
        <f t="shared" si="5"/>
        <v>0.82690568426280209</v>
      </c>
      <c r="R22" s="631">
        <v>33279489.609999999</v>
      </c>
      <c r="S22" s="633">
        <f t="shared" si="1"/>
        <v>0.82690568426280209</v>
      </c>
      <c r="T22" s="163">
        <f t="shared" si="3"/>
        <v>0</v>
      </c>
    </row>
    <row r="23" spans="1:22" ht="22.5" x14ac:dyDescent="0.25">
      <c r="A23" s="95" t="s">
        <v>145</v>
      </c>
      <c r="B23" s="66" t="s">
        <v>26</v>
      </c>
      <c r="C23" s="776"/>
      <c r="D23" s="790"/>
      <c r="E23" s="617">
        <v>3134302.0204761904</v>
      </c>
      <c r="F23" s="617">
        <v>1504464.9983999999</v>
      </c>
      <c r="G23" s="410"/>
      <c r="H23" s="617">
        <f t="shared" si="0"/>
        <v>3134302.0204761904</v>
      </c>
      <c r="I23" s="408"/>
      <c r="J23" s="627">
        <v>3134302</v>
      </c>
      <c r="K23" s="610">
        <v>3134301.83</v>
      </c>
      <c r="L23" s="119">
        <f>K23</f>
        <v>3134301.83</v>
      </c>
      <c r="M23" s="65">
        <f t="shared" si="4"/>
        <v>0.99999993922851438</v>
      </c>
      <c r="N23" s="284">
        <v>3134301.83</v>
      </c>
      <c r="O23" s="284">
        <f>P23</f>
        <v>3134301.83</v>
      </c>
      <c r="P23" s="51">
        <v>3134301.83</v>
      </c>
      <c r="Q23" s="65">
        <f t="shared" si="5"/>
        <v>0.99999993922851438</v>
      </c>
      <c r="R23" s="631">
        <v>3134301.83</v>
      </c>
      <c r="S23" s="633">
        <f t="shared" si="1"/>
        <v>0.99999993922851438</v>
      </c>
      <c r="T23" s="163">
        <f t="shared" si="3"/>
        <v>0</v>
      </c>
    </row>
    <row r="24" spans="1:22" x14ac:dyDescent="0.25">
      <c r="A24" s="95" t="s">
        <v>146</v>
      </c>
      <c r="B24" s="66" t="s">
        <v>27</v>
      </c>
      <c r="C24" s="776"/>
      <c r="D24" s="790"/>
      <c r="E24" s="637">
        <v>2169397.2523809527</v>
      </c>
      <c r="F24" s="637">
        <v>1041600</v>
      </c>
      <c r="G24" s="410"/>
      <c r="H24" s="637">
        <f t="shared" si="0"/>
        <v>2169397.2523809527</v>
      </c>
      <c r="I24" s="408"/>
      <c r="J24" s="627">
        <v>2170000</v>
      </c>
      <c r="K24" s="610">
        <v>2072844.16</v>
      </c>
      <c r="L24" s="119">
        <f>K24+'M07'!M42</f>
        <v>2833487.4</v>
      </c>
      <c r="M24" s="65">
        <f>L24/E24</f>
        <v>1.3061173544357523</v>
      </c>
      <c r="N24" s="166">
        <v>2048644.46</v>
      </c>
      <c r="O24" s="166">
        <f>P24+'M07'!U42</f>
        <v>2167468.41</v>
      </c>
      <c r="P24" s="637">
        <v>2072844.16</v>
      </c>
      <c r="Q24" s="65">
        <f t="shared" si="5"/>
        <v>0.99911088557946881</v>
      </c>
      <c r="R24" s="631">
        <v>2048644.46</v>
      </c>
      <c r="S24" s="633">
        <f t="shared" si="1"/>
        <v>0.94433809103038902</v>
      </c>
      <c r="T24" s="163">
        <f t="shared" si="3"/>
        <v>118823.95000000019</v>
      </c>
      <c r="U24" s="321"/>
    </row>
    <row r="25" spans="1:22" ht="33.75" x14ac:dyDescent="0.25">
      <c r="A25" s="95" t="s">
        <v>147</v>
      </c>
      <c r="B25" s="66" t="s">
        <v>28</v>
      </c>
      <c r="C25" s="776"/>
      <c r="D25" s="790"/>
      <c r="E25" s="617">
        <v>761904.76190476189</v>
      </c>
      <c r="F25" s="617">
        <v>480000</v>
      </c>
      <c r="G25" s="410"/>
      <c r="H25" s="617">
        <f t="shared" si="0"/>
        <v>761904.76190476189</v>
      </c>
      <c r="I25" s="408"/>
      <c r="J25" s="627">
        <v>1000000</v>
      </c>
      <c r="K25" s="610">
        <v>0</v>
      </c>
      <c r="L25" s="119">
        <f>K25+'M07'!M51</f>
        <v>1108557.9300000002</v>
      </c>
      <c r="M25" s="65">
        <f t="shared" si="4"/>
        <v>1.4549822831250003</v>
      </c>
      <c r="N25" s="252">
        <v>0</v>
      </c>
      <c r="O25" s="252">
        <f>P25+'M07'!U51</f>
        <v>130927.22</v>
      </c>
      <c r="P25" s="269">
        <v>0</v>
      </c>
      <c r="Q25" s="65">
        <f t="shared" si="5"/>
        <v>0.17184197625</v>
      </c>
      <c r="R25" s="631">
        <v>130927.22</v>
      </c>
      <c r="S25" s="633">
        <f t="shared" si="1"/>
        <v>0.17184197625</v>
      </c>
      <c r="T25" s="163">
        <f t="shared" si="3"/>
        <v>130927.22</v>
      </c>
    </row>
    <row r="26" spans="1:22" ht="22.5" x14ac:dyDescent="0.25">
      <c r="A26" s="115" t="s">
        <v>116</v>
      </c>
      <c r="B26" s="116" t="s">
        <v>30</v>
      </c>
      <c r="C26" s="777">
        <v>0</v>
      </c>
      <c r="D26" s="790"/>
      <c r="E26" s="619">
        <v>15967539.303690473</v>
      </c>
      <c r="F26" s="619">
        <v>7920000</v>
      </c>
      <c r="G26" s="410"/>
      <c r="H26" s="617">
        <f t="shared" si="0"/>
        <v>15967539.303690473</v>
      </c>
      <c r="I26" s="410"/>
      <c r="J26" s="557">
        <v>15967539.303690473</v>
      </c>
      <c r="K26" s="610">
        <v>14336287.424166666</v>
      </c>
      <c r="L26" s="538">
        <v>15967539.303690473</v>
      </c>
      <c r="M26" s="402">
        <f>+L26/E26</f>
        <v>1</v>
      </c>
      <c r="N26" s="166">
        <v>14264116.2141666</v>
      </c>
      <c r="O26" s="576">
        <v>14336287.4241667</v>
      </c>
      <c r="P26" s="576">
        <v>14336287.424166666</v>
      </c>
      <c r="Q26" s="402">
        <f>+O26/(E26+G26+I26)</f>
        <v>0.89783949495920434</v>
      </c>
      <c r="R26" s="576">
        <v>14336287.4241667</v>
      </c>
      <c r="S26" s="633">
        <f>R26/H26</f>
        <v>0.89783949495920434</v>
      </c>
      <c r="T26" s="163">
        <f t="shared" si="3"/>
        <v>72171.210000099614</v>
      </c>
    </row>
    <row r="27" spans="1:22" ht="33.75" x14ac:dyDescent="0.25">
      <c r="A27" s="95" t="s">
        <v>148</v>
      </c>
      <c r="B27" s="66" t="s">
        <v>31</v>
      </c>
      <c r="C27" s="777"/>
      <c r="D27" s="790"/>
      <c r="E27" s="617">
        <v>7272786.6357142869</v>
      </c>
      <c r="F27" s="617">
        <v>3840000</v>
      </c>
      <c r="G27" s="410"/>
      <c r="H27" s="617">
        <f t="shared" si="0"/>
        <v>7272786.6357142869</v>
      </c>
      <c r="I27" s="408"/>
      <c r="J27" s="627">
        <v>8000000</v>
      </c>
      <c r="K27" s="610">
        <v>2577196.0000000009</v>
      </c>
      <c r="L27" s="163">
        <f>K27+'M8.3-8.6'!M7</f>
        <v>10252258.540000001</v>
      </c>
      <c r="M27" s="65">
        <f>L27/E27</f>
        <v>1.4096740429114885</v>
      </c>
      <c r="N27" s="139">
        <v>4945703.870000001</v>
      </c>
      <c r="O27" s="337">
        <f>P27+'M8.3-8.6'!U6</f>
        <v>5720116.3500000015</v>
      </c>
      <c r="P27" s="200">
        <v>2577196.0000000009</v>
      </c>
      <c r="Q27" s="65">
        <f>O27/E27</f>
        <v>0.78650957831079116</v>
      </c>
      <c r="R27" s="631">
        <v>5720116.3500000015</v>
      </c>
      <c r="S27" s="633">
        <f t="shared" si="1"/>
        <v>0.78650957831079116</v>
      </c>
      <c r="T27" s="163">
        <f t="shared" si="3"/>
        <v>774412.48000000045</v>
      </c>
    </row>
    <row r="28" spans="1:22" ht="33.75" x14ac:dyDescent="0.25">
      <c r="A28" s="95" t="s">
        <v>149</v>
      </c>
      <c r="B28" s="66" t="s">
        <v>32</v>
      </c>
      <c r="C28" s="777"/>
      <c r="D28" s="790"/>
      <c r="E28" s="617">
        <v>4784047.2833333332</v>
      </c>
      <c r="F28" s="617">
        <v>2256000</v>
      </c>
      <c r="G28" s="410"/>
      <c r="H28" s="617">
        <f t="shared" si="0"/>
        <v>4784047.2833333332</v>
      </c>
      <c r="I28" s="408"/>
      <c r="J28" s="627">
        <v>4700000</v>
      </c>
      <c r="K28" s="610">
        <v>2313523.7600000002</v>
      </c>
      <c r="L28" s="163">
        <f>K28+'M8.3-8.6'!M16</f>
        <v>5771092.4400000004</v>
      </c>
      <c r="M28" s="65">
        <f>L28/E28</f>
        <v>1.2063201089390014</v>
      </c>
      <c r="N28" s="139">
        <v>5052998.59</v>
      </c>
      <c r="O28" s="337">
        <f>P28+'M8.3-8.6'!U15</f>
        <v>5084458.2799999993</v>
      </c>
      <c r="P28" s="200">
        <v>2313523.7600000002</v>
      </c>
      <c r="Q28" s="65">
        <f>O28/E28</f>
        <v>1.0627943201383561</v>
      </c>
      <c r="R28" s="631">
        <v>5084458.2799999993</v>
      </c>
      <c r="S28" s="633">
        <f t="shared" si="1"/>
        <v>1.0627943201383561</v>
      </c>
      <c r="T28" s="163">
        <f t="shared" si="3"/>
        <v>31459.689999999478</v>
      </c>
    </row>
    <row r="29" spans="1:22" ht="22.5" x14ac:dyDescent="0.25">
      <c r="A29" s="115" t="s">
        <v>150</v>
      </c>
      <c r="B29" s="116" t="s">
        <v>34</v>
      </c>
      <c r="C29" s="643">
        <v>0</v>
      </c>
      <c r="D29" s="790"/>
      <c r="E29" s="616">
        <v>305000</v>
      </c>
      <c r="F29" s="616">
        <v>146400</v>
      </c>
      <c r="G29" s="406"/>
      <c r="H29" s="616">
        <f t="shared" si="0"/>
        <v>305000</v>
      </c>
      <c r="I29" s="405"/>
      <c r="J29" s="623">
        <v>305000</v>
      </c>
      <c r="K29" s="610">
        <v>0</v>
      </c>
      <c r="L29" s="119">
        <f>K29+'M09'!M7</f>
        <v>305000</v>
      </c>
      <c r="M29" s="65">
        <f>L29/E29</f>
        <v>1</v>
      </c>
      <c r="N29" s="281">
        <v>305000</v>
      </c>
      <c r="O29" s="281">
        <f>P29+'M09'!U6</f>
        <v>305000</v>
      </c>
      <c r="P29" s="269">
        <v>0</v>
      </c>
      <c r="Q29" s="65">
        <f>O29/E29</f>
        <v>1</v>
      </c>
      <c r="R29" s="631">
        <v>305000</v>
      </c>
      <c r="S29" s="633">
        <f t="shared" si="1"/>
        <v>1</v>
      </c>
      <c r="T29" s="163">
        <f t="shared" si="3"/>
        <v>0</v>
      </c>
    </row>
    <row r="30" spans="1:22" customFormat="1" ht="13.15" customHeight="1" x14ac:dyDescent="0.25">
      <c r="A30" s="800" t="s">
        <v>117</v>
      </c>
      <c r="B30" s="116" t="s">
        <v>36</v>
      </c>
      <c r="C30" s="778">
        <v>10353554</v>
      </c>
      <c r="D30" s="790"/>
      <c r="E30" s="803">
        <v>210033479.99380001</v>
      </c>
      <c r="F30" s="803">
        <v>100914292.09</v>
      </c>
      <c r="G30" s="758">
        <v>28004192.489999998</v>
      </c>
      <c r="H30" s="853">
        <f t="shared" si="0"/>
        <v>238037672.48380002</v>
      </c>
      <c r="I30" s="758">
        <v>10000000</v>
      </c>
      <c r="J30" s="810">
        <v>249829274.17077592</v>
      </c>
      <c r="K30" s="758">
        <v>83920532.772275597</v>
      </c>
      <c r="L30" s="758">
        <v>249829274.17077592</v>
      </c>
      <c r="M30" s="793">
        <f>+L30/(E30+G30+I30)</f>
        <v>1.0072231031239536</v>
      </c>
      <c r="N30" s="766">
        <v>242943932.54846039</v>
      </c>
      <c r="O30" s="766">
        <v>244220790.00166699</v>
      </c>
      <c r="P30" s="766">
        <v>83920532.769999996</v>
      </c>
      <c r="Q30" s="793">
        <f>+O30/(E30+G30+I30)</f>
        <v>0.98461168239521224</v>
      </c>
      <c r="R30" s="766">
        <v>237246093.901667</v>
      </c>
      <c r="S30" s="844">
        <f>R30/H30</f>
        <v>0.99667456594633397</v>
      </c>
      <c r="T30" s="806">
        <f>O30-N30</f>
        <v>1276857.4532065988</v>
      </c>
      <c r="V30" s="840"/>
    </row>
    <row r="31" spans="1:22" customFormat="1" x14ac:dyDescent="0.25">
      <c r="A31" s="801"/>
      <c r="B31" s="116" t="s">
        <v>37</v>
      </c>
      <c r="C31" s="778"/>
      <c r="D31" s="790"/>
      <c r="E31" s="804"/>
      <c r="F31" s="804"/>
      <c r="G31" s="769"/>
      <c r="H31" s="854"/>
      <c r="I31" s="769"/>
      <c r="J31" s="811"/>
      <c r="K31" s="769"/>
      <c r="L31" s="769"/>
      <c r="M31" s="794"/>
      <c r="N31" s="767"/>
      <c r="O31" s="767"/>
      <c r="P31" s="767"/>
      <c r="Q31" s="808" t="e">
        <v>#DIV/0!</v>
      </c>
      <c r="R31" s="767"/>
      <c r="S31" s="844"/>
      <c r="T31" s="813"/>
      <c r="V31" s="840"/>
    </row>
    <row r="32" spans="1:22" x14ac:dyDescent="0.25">
      <c r="A32" s="801"/>
      <c r="B32" s="116" t="s">
        <v>38</v>
      </c>
      <c r="C32" s="778"/>
      <c r="D32" s="790"/>
      <c r="E32" s="804"/>
      <c r="F32" s="804"/>
      <c r="G32" s="769"/>
      <c r="H32" s="854"/>
      <c r="I32" s="769"/>
      <c r="J32" s="811"/>
      <c r="K32" s="769"/>
      <c r="L32" s="769"/>
      <c r="M32" s="794"/>
      <c r="N32" s="767"/>
      <c r="O32" s="767"/>
      <c r="P32" s="767"/>
      <c r="Q32" s="808" t="e">
        <v>#DIV/0!</v>
      </c>
      <c r="R32" s="767"/>
      <c r="S32" s="844"/>
      <c r="T32" s="813"/>
      <c r="U32" s="323"/>
      <c r="V32" s="840"/>
    </row>
    <row r="33" spans="1:22" customFormat="1" ht="33.75" x14ac:dyDescent="0.25">
      <c r="A33" s="801"/>
      <c r="B33" s="116" t="s">
        <v>41</v>
      </c>
      <c r="C33" s="778"/>
      <c r="D33" s="790"/>
      <c r="E33" s="804"/>
      <c r="F33" s="804"/>
      <c r="G33" s="769"/>
      <c r="H33" s="854"/>
      <c r="I33" s="769"/>
      <c r="J33" s="811"/>
      <c r="K33" s="769"/>
      <c r="L33" s="769"/>
      <c r="M33" s="794"/>
      <c r="N33" s="767"/>
      <c r="O33" s="767"/>
      <c r="P33" s="767"/>
      <c r="Q33" s="808" t="e">
        <v>#DIV/0!</v>
      </c>
      <c r="R33" s="767"/>
      <c r="S33" s="844"/>
      <c r="T33" s="813"/>
      <c r="U33" s="324"/>
      <c r="V33" s="840"/>
    </row>
    <row r="34" spans="1:22" customFormat="1" ht="22.5" x14ac:dyDescent="0.25">
      <c r="A34" s="802"/>
      <c r="B34" s="116" t="s">
        <v>39</v>
      </c>
      <c r="C34" s="778"/>
      <c r="D34" s="790"/>
      <c r="E34" s="805"/>
      <c r="F34" s="805"/>
      <c r="G34" s="759"/>
      <c r="H34" s="855"/>
      <c r="I34" s="759"/>
      <c r="J34" s="812"/>
      <c r="K34" s="759"/>
      <c r="L34" s="759"/>
      <c r="M34" s="795"/>
      <c r="N34" s="768"/>
      <c r="O34" s="768"/>
      <c r="P34" s="768"/>
      <c r="Q34" s="809" t="e">
        <v>#DIV/0!</v>
      </c>
      <c r="R34" s="768"/>
      <c r="S34" s="844"/>
      <c r="T34" s="807"/>
      <c r="U34" s="324"/>
      <c r="V34" s="840"/>
    </row>
    <row r="35" spans="1:22" ht="22.5" x14ac:dyDescent="0.25">
      <c r="A35" s="115" t="s">
        <v>118</v>
      </c>
      <c r="B35" s="116" t="s">
        <v>42</v>
      </c>
      <c r="C35" s="778"/>
      <c r="D35" s="790"/>
      <c r="E35" s="619">
        <v>0</v>
      </c>
      <c r="F35" s="619"/>
      <c r="G35" s="593"/>
      <c r="H35" s="619">
        <f t="shared" si="0"/>
        <v>0</v>
      </c>
      <c r="I35" s="411"/>
      <c r="J35" s="629">
        <v>0</v>
      </c>
      <c r="K35" s="610">
        <v>0</v>
      </c>
      <c r="L35" s="277">
        <f>K35+'M10.2'!M7</f>
        <v>0</v>
      </c>
      <c r="M35" s="277"/>
      <c r="N35" s="277">
        <v>0</v>
      </c>
      <c r="O35" s="277">
        <v>0</v>
      </c>
      <c r="P35" s="277">
        <v>0</v>
      </c>
      <c r="Q35" s="277">
        <v>0</v>
      </c>
      <c r="R35" s="629"/>
      <c r="S35" s="634">
        <v>0</v>
      </c>
      <c r="T35" s="277">
        <f t="shared" si="3"/>
        <v>0</v>
      </c>
      <c r="U35" s="287"/>
    </row>
    <row r="36" spans="1:22" ht="22.5" x14ac:dyDescent="0.25">
      <c r="A36" s="115" t="s">
        <v>45</v>
      </c>
      <c r="B36" s="116" t="s">
        <v>43</v>
      </c>
      <c r="C36" s="778">
        <v>260011</v>
      </c>
      <c r="D36" s="790"/>
      <c r="E36" s="803">
        <v>96138933.013333395</v>
      </c>
      <c r="F36" s="803">
        <v>46251759</v>
      </c>
      <c r="G36" s="824"/>
      <c r="H36" s="803">
        <f t="shared" si="0"/>
        <v>96138933.013333395</v>
      </c>
      <c r="I36" s="824"/>
      <c r="J36" s="819">
        <v>97047954.127999991</v>
      </c>
      <c r="K36" s="758">
        <v>22500000.000000004</v>
      </c>
      <c r="L36" s="822">
        <v>97047954.127999991</v>
      </c>
      <c r="M36" s="793">
        <f t="shared" ref="M36:M43" si="6">L36/E36</f>
        <v>1.009455286075835</v>
      </c>
      <c r="N36" s="806">
        <v>95790261.3800001</v>
      </c>
      <c r="O36" s="806">
        <v>95763564.626666695</v>
      </c>
      <c r="P36" s="806">
        <v>22333621.170000002</v>
      </c>
      <c r="Q36" s="832">
        <f>+O36/(E36+E37)</f>
        <v>0.9960955632135563</v>
      </c>
      <c r="R36" s="806">
        <v>95763564.626666695</v>
      </c>
      <c r="S36" s="844">
        <f t="shared" ref="S36:S40" si="7">R36/H36</f>
        <v>0.9960955632135563</v>
      </c>
      <c r="T36" s="806">
        <f>O36-N36</f>
        <v>-26696.75333340466</v>
      </c>
    </row>
    <row r="37" spans="1:22" ht="22.5" x14ac:dyDescent="0.25">
      <c r="A37" s="115" t="s">
        <v>119</v>
      </c>
      <c r="B37" s="116" t="s">
        <v>44</v>
      </c>
      <c r="C37" s="778"/>
      <c r="D37" s="790"/>
      <c r="E37" s="805"/>
      <c r="F37" s="805"/>
      <c r="G37" s="825"/>
      <c r="H37" s="805"/>
      <c r="I37" s="825"/>
      <c r="J37" s="820"/>
      <c r="K37" s="759"/>
      <c r="L37" s="823"/>
      <c r="M37" s="795" t="e">
        <f t="shared" si="6"/>
        <v>#DIV/0!</v>
      </c>
      <c r="N37" s="807"/>
      <c r="O37" s="807"/>
      <c r="P37" s="807"/>
      <c r="Q37" s="843" t="e">
        <f t="shared" ref="Q37:Q43" si="8">+O37/E37</f>
        <v>#DIV/0!</v>
      </c>
      <c r="R37" s="807"/>
      <c r="S37" s="844"/>
      <c r="T37" s="807"/>
      <c r="V37" s="841"/>
    </row>
    <row r="38" spans="1:22" x14ac:dyDescent="0.25">
      <c r="A38" s="115" t="s">
        <v>112</v>
      </c>
      <c r="B38" s="116" t="s">
        <v>120</v>
      </c>
      <c r="C38" s="778">
        <v>17009709</v>
      </c>
      <c r="D38" s="790"/>
      <c r="E38" s="830">
        <v>374681267.08583301</v>
      </c>
      <c r="F38" s="830">
        <v>187940623.21000001</v>
      </c>
      <c r="G38" s="758"/>
      <c r="H38" s="803">
        <f t="shared" si="0"/>
        <v>374681267.08583301</v>
      </c>
      <c r="I38" s="579"/>
      <c r="J38" s="806">
        <v>390974646.88800001</v>
      </c>
      <c r="K38" s="758">
        <v>1546988.40999987</v>
      </c>
      <c r="L38" s="766">
        <v>381613768.56800002</v>
      </c>
      <c r="M38" s="793">
        <f t="shared" si="6"/>
        <v>1.0185023968133931</v>
      </c>
      <c r="N38" s="766">
        <v>344764841.85583001</v>
      </c>
      <c r="O38" s="766">
        <v>347376858.20583302</v>
      </c>
      <c r="P38" s="766">
        <v>1546988.40999987</v>
      </c>
      <c r="Q38" s="832">
        <f t="shared" si="8"/>
        <v>0.92712630366506943</v>
      </c>
      <c r="R38" s="766">
        <v>347376858.20583302</v>
      </c>
      <c r="S38" s="844">
        <f t="shared" si="7"/>
        <v>0.92712630366506943</v>
      </c>
      <c r="T38" s="806">
        <f t="shared" si="3"/>
        <v>2612016.3500030041</v>
      </c>
      <c r="U38" s="193"/>
      <c r="V38" s="842"/>
    </row>
    <row r="39" spans="1:22" ht="22.5" x14ac:dyDescent="0.25">
      <c r="A39" s="115" t="s">
        <v>113</v>
      </c>
      <c r="B39" s="116" t="s">
        <v>121</v>
      </c>
      <c r="C39" s="778"/>
      <c r="D39" s="790"/>
      <c r="E39" s="831"/>
      <c r="F39" s="831"/>
      <c r="G39" s="759"/>
      <c r="H39" s="805"/>
      <c r="I39" s="580"/>
      <c r="J39" s="807"/>
      <c r="K39" s="759"/>
      <c r="L39" s="768"/>
      <c r="M39" s="795" t="e">
        <f t="shared" si="6"/>
        <v>#DIV/0!</v>
      </c>
      <c r="N39" s="768"/>
      <c r="O39" s="768"/>
      <c r="P39" s="768"/>
      <c r="Q39" s="832" t="e">
        <f t="shared" si="8"/>
        <v>#DIV/0!</v>
      </c>
      <c r="R39" s="768"/>
      <c r="S39" s="844"/>
      <c r="T39" s="807">
        <f t="shared" si="3"/>
        <v>0</v>
      </c>
      <c r="U39" s="287"/>
      <c r="V39" s="841"/>
    </row>
    <row r="40" spans="1:22" ht="22.5" x14ac:dyDescent="0.25">
      <c r="A40" s="827" t="s">
        <v>122</v>
      </c>
      <c r="B40" s="116" t="s">
        <v>123</v>
      </c>
      <c r="C40" s="778">
        <v>5916028</v>
      </c>
      <c r="D40" s="790"/>
      <c r="E40" s="815">
        <v>340347549.31428599</v>
      </c>
      <c r="F40" s="837">
        <v>166202661</v>
      </c>
      <c r="G40" s="762"/>
      <c r="H40" s="815">
        <f t="shared" si="0"/>
        <v>340347549.31428599</v>
      </c>
      <c r="I40" s="857"/>
      <c r="J40" s="806">
        <v>345949988.77099943</v>
      </c>
      <c r="K40" s="758">
        <v>32588366.609999999</v>
      </c>
      <c r="L40" s="766">
        <v>345949988.77099943</v>
      </c>
      <c r="M40" s="793">
        <f t="shared" si="6"/>
        <v>1.0164609366748811</v>
      </c>
      <c r="N40" s="766">
        <v>321571079.72333199</v>
      </c>
      <c r="O40" s="766">
        <v>321448246.50666702</v>
      </c>
      <c r="P40" s="766">
        <v>32588366.609999999</v>
      </c>
      <c r="Q40" s="832">
        <f t="shared" si="8"/>
        <v>0.94447057766187448</v>
      </c>
      <c r="R40" s="766">
        <v>321448246.50666702</v>
      </c>
      <c r="S40" s="844">
        <f t="shared" si="7"/>
        <v>0.94447057766187448</v>
      </c>
      <c r="T40" s="814">
        <f>+O40-N40</f>
        <v>-122833.21666496992</v>
      </c>
      <c r="V40" s="842"/>
    </row>
    <row r="41" spans="1:22" ht="22.5" x14ac:dyDescent="0.25">
      <c r="A41" s="828"/>
      <c r="B41" s="116" t="s">
        <v>124</v>
      </c>
      <c r="C41" s="778"/>
      <c r="D41" s="790"/>
      <c r="E41" s="816"/>
      <c r="F41" s="838"/>
      <c r="G41" s="792"/>
      <c r="H41" s="816"/>
      <c r="I41" s="858"/>
      <c r="J41" s="813"/>
      <c r="K41" s="769"/>
      <c r="L41" s="767"/>
      <c r="M41" s="794" t="e">
        <f t="shared" si="6"/>
        <v>#DIV/0!</v>
      </c>
      <c r="N41" s="767"/>
      <c r="O41" s="767"/>
      <c r="P41" s="767"/>
      <c r="Q41" s="832" t="e">
        <f t="shared" si="8"/>
        <v>#DIV/0!</v>
      </c>
      <c r="R41" s="767"/>
      <c r="S41" s="844"/>
      <c r="T41" s="814"/>
    </row>
    <row r="42" spans="1:22" ht="22.5" x14ac:dyDescent="0.25">
      <c r="A42" s="828"/>
      <c r="B42" s="116" t="s">
        <v>125</v>
      </c>
      <c r="C42" s="778"/>
      <c r="D42" s="790"/>
      <c r="E42" s="816"/>
      <c r="F42" s="838"/>
      <c r="G42" s="792"/>
      <c r="H42" s="816"/>
      <c r="I42" s="858"/>
      <c r="J42" s="813"/>
      <c r="K42" s="769"/>
      <c r="L42" s="767"/>
      <c r="M42" s="794" t="e">
        <f t="shared" si="6"/>
        <v>#DIV/0!</v>
      </c>
      <c r="N42" s="767"/>
      <c r="O42" s="767"/>
      <c r="P42" s="767"/>
      <c r="Q42" s="832" t="e">
        <f t="shared" si="8"/>
        <v>#DIV/0!</v>
      </c>
      <c r="R42" s="767"/>
      <c r="S42" s="844"/>
      <c r="T42" s="814"/>
      <c r="U42" s="287"/>
    </row>
    <row r="43" spans="1:22" ht="22.5" x14ac:dyDescent="0.25">
      <c r="A43" s="829"/>
      <c r="B43" s="116" t="s">
        <v>126</v>
      </c>
      <c r="C43" s="778"/>
      <c r="D43" s="790"/>
      <c r="E43" s="817"/>
      <c r="F43" s="839"/>
      <c r="G43" s="763"/>
      <c r="H43" s="817"/>
      <c r="I43" s="859"/>
      <c r="J43" s="807"/>
      <c r="K43" s="759"/>
      <c r="L43" s="768"/>
      <c r="M43" s="795" t="e">
        <f t="shared" si="6"/>
        <v>#DIV/0!</v>
      </c>
      <c r="N43" s="768"/>
      <c r="O43" s="768"/>
      <c r="P43" s="768"/>
      <c r="Q43" s="832" t="e">
        <f t="shared" si="8"/>
        <v>#DIV/0!</v>
      </c>
      <c r="R43" s="768"/>
      <c r="S43" s="844"/>
      <c r="T43" s="814"/>
    </row>
    <row r="44" spans="1:22" ht="22.5" x14ac:dyDescent="0.25">
      <c r="A44" s="115" t="s">
        <v>127</v>
      </c>
      <c r="B44" s="116" t="s">
        <v>52</v>
      </c>
      <c r="C44" s="643">
        <v>0</v>
      </c>
      <c r="D44" s="790"/>
      <c r="E44" s="616">
        <v>5382260.5866666697</v>
      </c>
      <c r="F44" s="616">
        <v>2788730</v>
      </c>
      <c r="G44" s="406"/>
      <c r="H44" s="616">
        <f t="shared" si="0"/>
        <v>5382260.5866666697</v>
      </c>
      <c r="I44" s="406"/>
      <c r="J44" s="630">
        <v>5374580.8100000005</v>
      </c>
      <c r="K44" s="612">
        <v>317071.90000000002</v>
      </c>
      <c r="L44" s="291">
        <v>5374580.8100000005</v>
      </c>
      <c r="M44" s="65">
        <f t="shared" ref="M44:M50" si="9">L44/E44</f>
        <v>0.99857313176443108</v>
      </c>
      <c r="N44" s="291">
        <v>4622094.2699999996</v>
      </c>
      <c r="O44" s="577">
        <v>4634037.1066666702</v>
      </c>
      <c r="P44" s="577">
        <v>223525.68</v>
      </c>
      <c r="Q44" s="65">
        <f>+O44/E44</f>
        <v>0.8609834161776645</v>
      </c>
      <c r="R44" s="577">
        <v>4634037.1066666702</v>
      </c>
      <c r="S44" s="633">
        <f>R44/H44</f>
        <v>0.8609834161776645</v>
      </c>
      <c r="T44" s="292">
        <f>+O44-N44</f>
        <v>11942.836666670628</v>
      </c>
    </row>
    <row r="45" spans="1:22" ht="26.25" customHeight="1" x14ac:dyDescent="0.25">
      <c r="A45" s="293" t="s">
        <v>53</v>
      </c>
      <c r="B45" s="116" t="s">
        <v>54</v>
      </c>
      <c r="C45" s="778">
        <v>2166342</v>
      </c>
      <c r="D45" s="790"/>
      <c r="E45" s="616">
        <v>6284036.8866666667</v>
      </c>
      <c r="F45" s="616">
        <v>5270400</v>
      </c>
      <c r="G45" s="406"/>
      <c r="H45" s="616">
        <f t="shared" si="0"/>
        <v>6284036.8866666667</v>
      </c>
      <c r="I45" s="405"/>
      <c r="J45" s="627">
        <v>10842809.42</v>
      </c>
      <c r="K45" s="610">
        <v>0</v>
      </c>
      <c r="L45" s="119">
        <f>'M16'!M8</f>
        <v>10557570.220000001</v>
      </c>
      <c r="M45" s="65">
        <f t="shared" si="9"/>
        <v>1.6800617835965961</v>
      </c>
      <c r="N45" s="284">
        <v>917221.90000000014</v>
      </c>
      <c r="O45" s="284">
        <f>'M16'!U8</f>
        <v>1824245.83</v>
      </c>
      <c r="P45" s="269">
        <v>0</v>
      </c>
      <c r="Q45" s="65">
        <f t="shared" ref="Q45:Q50" si="10">O45/E45</f>
        <v>0.29029839622212361</v>
      </c>
      <c r="R45" s="631">
        <v>1824245.83</v>
      </c>
      <c r="S45" s="633">
        <f t="shared" si="1"/>
        <v>0.29029839622212361</v>
      </c>
      <c r="T45" s="163">
        <f t="shared" ref="T45:T52" si="11">O45-N45</f>
        <v>907023.92999999993</v>
      </c>
    </row>
    <row r="46" spans="1:22" ht="31.5" customHeight="1" x14ac:dyDescent="0.25">
      <c r="A46" s="94" t="s">
        <v>55</v>
      </c>
      <c r="B46" s="66" t="s">
        <v>56</v>
      </c>
      <c r="C46" s="778"/>
      <c r="D46" s="790"/>
      <c r="E46" s="616">
        <v>5881571.5293333335</v>
      </c>
      <c r="F46" s="616">
        <v>3201600</v>
      </c>
      <c r="G46" s="590"/>
      <c r="H46" s="616">
        <f t="shared" si="0"/>
        <v>5881571.5293333335</v>
      </c>
      <c r="I46" s="404"/>
      <c r="J46" s="623">
        <v>6670000</v>
      </c>
      <c r="K46" s="610">
        <v>0</v>
      </c>
      <c r="L46" s="119">
        <f>'M16'!M15</f>
        <v>6720386.1799999997</v>
      </c>
      <c r="M46" s="65">
        <f>L46/E46</f>
        <v>1.1426174359154218</v>
      </c>
      <c r="N46" s="284">
        <v>4980510.4200000009</v>
      </c>
      <c r="O46" s="284">
        <f>'M16'!U15</f>
        <v>5309861.8200000012</v>
      </c>
      <c r="P46" s="269">
        <v>0</v>
      </c>
      <c r="Q46" s="240">
        <f t="shared" si="10"/>
        <v>0.90279643689071398</v>
      </c>
      <c r="R46" s="631">
        <v>5309861.8200000012</v>
      </c>
      <c r="S46" s="635">
        <f t="shared" si="1"/>
        <v>0.90279643689071398</v>
      </c>
      <c r="T46" s="163">
        <f t="shared" si="11"/>
        <v>329351.40000000037</v>
      </c>
    </row>
    <row r="47" spans="1:22" x14ac:dyDescent="0.25">
      <c r="A47" s="94" t="s">
        <v>151</v>
      </c>
      <c r="B47" s="66" t="s">
        <v>58</v>
      </c>
      <c r="C47" s="778"/>
      <c r="D47" s="790"/>
      <c r="E47" s="616">
        <v>1856652.3646666668</v>
      </c>
      <c r="F47" s="616">
        <v>1449600</v>
      </c>
      <c r="G47" s="590"/>
      <c r="H47" s="616">
        <f t="shared" si="0"/>
        <v>1856652.3646666668</v>
      </c>
      <c r="I47" s="404"/>
      <c r="J47" s="627">
        <v>3020000</v>
      </c>
      <c r="K47" s="610">
        <v>0</v>
      </c>
      <c r="L47" s="119">
        <f>'M16'!M24</f>
        <v>2757876.76</v>
      </c>
      <c r="M47" s="65">
        <f t="shared" si="9"/>
        <v>1.4854028748107262</v>
      </c>
      <c r="N47" s="284">
        <v>527112.21000000008</v>
      </c>
      <c r="O47" s="284">
        <f>'M16'!U25</f>
        <v>769145.20000000007</v>
      </c>
      <c r="P47" s="269">
        <v>0</v>
      </c>
      <c r="Q47" s="240">
        <f t="shared" si="10"/>
        <v>0.41426451964694433</v>
      </c>
      <c r="R47" s="631">
        <v>769145.20000000007</v>
      </c>
      <c r="S47" s="635">
        <f t="shared" si="1"/>
        <v>0.41426451964694433</v>
      </c>
      <c r="T47" s="163">
        <f t="shared" si="11"/>
        <v>242032.99</v>
      </c>
    </row>
    <row r="48" spans="1:22" ht="22.5" x14ac:dyDescent="0.25">
      <c r="A48" s="94" t="s">
        <v>59</v>
      </c>
      <c r="B48" s="66" t="s">
        <v>60</v>
      </c>
      <c r="C48" s="778"/>
      <c r="D48" s="790"/>
      <c r="E48" s="616">
        <v>1002666.6666666666</v>
      </c>
      <c r="F48" s="616">
        <v>902400</v>
      </c>
      <c r="G48" s="590"/>
      <c r="H48" s="616">
        <f t="shared" si="0"/>
        <v>1002666.6666666666</v>
      </c>
      <c r="I48" s="404"/>
      <c r="J48" s="627">
        <v>1880000</v>
      </c>
      <c r="K48" s="610">
        <v>0</v>
      </c>
      <c r="L48" s="119">
        <f>'M16'!M34</f>
        <v>568352.41</v>
      </c>
      <c r="M48" s="65">
        <f t="shared" si="9"/>
        <v>0.56684083444148936</v>
      </c>
      <c r="N48" s="284">
        <v>0</v>
      </c>
      <c r="O48" s="284">
        <f>'M16'!U35</f>
        <v>0</v>
      </c>
      <c r="P48" s="269">
        <v>0</v>
      </c>
      <c r="Q48" s="240">
        <f t="shared" si="10"/>
        <v>0</v>
      </c>
      <c r="R48" s="631">
        <v>0</v>
      </c>
      <c r="S48" s="635">
        <f t="shared" si="1"/>
        <v>0</v>
      </c>
      <c r="T48" s="163">
        <f t="shared" si="11"/>
        <v>0</v>
      </c>
    </row>
    <row r="49" spans="1:20" ht="22.5" x14ac:dyDescent="0.25">
      <c r="A49" s="94" t="s">
        <v>61</v>
      </c>
      <c r="B49" s="66" t="s">
        <v>62</v>
      </c>
      <c r="C49" s="778"/>
      <c r="D49" s="790"/>
      <c r="E49" s="616">
        <v>178467.19999999998</v>
      </c>
      <c r="F49" s="616">
        <v>160620.47999999998</v>
      </c>
      <c r="G49" s="590"/>
      <c r="H49" s="616">
        <f t="shared" si="0"/>
        <v>178467.19999999998</v>
      </c>
      <c r="I49" s="404"/>
      <c r="J49" s="623">
        <v>334626</v>
      </c>
      <c r="K49" s="610">
        <v>0</v>
      </c>
      <c r="L49" s="119">
        <f>'M16'!M42</f>
        <v>64253</v>
      </c>
      <c r="M49" s="65">
        <f t="shared" si="9"/>
        <v>0.36002694052464546</v>
      </c>
      <c r="N49" s="284">
        <v>0</v>
      </c>
      <c r="O49" s="284">
        <f>'M16'!U43</f>
        <v>0</v>
      </c>
      <c r="P49" s="269">
        <v>0</v>
      </c>
      <c r="Q49" s="240">
        <f t="shared" si="10"/>
        <v>0</v>
      </c>
      <c r="R49" s="631">
        <v>0</v>
      </c>
      <c r="S49" s="635">
        <f t="shared" si="1"/>
        <v>0</v>
      </c>
      <c r="T49" s="163">
        <f t="shared" si="11"/>
        <v>0</v>
      </c>
    </row>
    <row r="50" spans="1:20" x14ac:dyDescent="0.25">
      <c r="A50" s="94" t="s">
        <v>63</v>
      </c>
      <c r="B50" s="66" t="s">
        <v>64</v>
      </c>
      <c r="C50" s="778"/>
      <c r="D50" s="790"/>
      <c r="E50" s="616">
        <v>264570.21133333334</v>
      </c>
      <c r="F50" s="616">
        <v>199535.00159999999</v>
      </c>
      <c r="G50" s="590"/>
      <c r="H50" s="616">
        <f t="shared" si="0"/>
        <v>264570.21133333334</v>
      </c>
      <c r="I50" s="404"/>
      <c r="J50" s="623">
        <v>415698</v>
      </c>
      <c r="K50" s="610">
        <v>0</v>
      </c>
      <c r="L50" s="119">
        <f>'M16'!M51</f>
        <v>474084.33</v>
      </c>
      <c r="M50" s="65">
        <f t="shared" si="9"/>
        <v>1.7919036599426486</v>
      </c>
      <c r="N50" s="284">
        <v>91852.83</v>
      </c>
      <c r="O50" s="284">
        <f>'M16'!U51</f>
        <v>91852.83</v>
      </c>
      <c r="P50" s="269">
        <v>0</v>
      </c>
      <c r="Q50" s="65">
        <f t="shared" si="10"/>
        <v>0.34717752061767138</v>
      </c>
      <c r="R50" s="631">
        <v>91852.83</v>
      </c>
      <c r="S50" s="633">
        <f t="shared" si="1"/>
        <v>0.34717752061767138</v>
      </c>
      <c r="T50" s="163">
        <f t="shared" si="11"/>
        <v>0</v>
      </c>
    </row>
    <row r="51" spans="1:20" x14ac:dyDescent="0.25">
      <c r="A51" s="94" t="s">
        <v>65</v>
      </c>
      <c r="B51" s="66" t="s">
        <v>66</v>
      </c>
      <c r="C51" s="776">
        <v>28345151</v>
      </c>
      <c r="D51" s="790"/>
      <c r="E51" s="622">
        <v>679804.03999999992</v>
      </c>
      <c r="F51" s="622">
        <v>288000</v>
      </c>
      <c r="G51" s="594"/>
      <c r="H51" s="622">
        <f t="shared" si="0"/>
        <v>679804.03999999992</v>
      </c>
      <c r="I51" s="591">
        <v>125817</v>
      </c>
      <c r="J51" s="376">
        <f>E51+I51</f>
        <v>805621.03999999992</v>
      </c>
      <c r="K51" s="610">
        <v>0</v>
      </c>
      <c r="L51" s="184">
        <v>725817</v>
      </c>
      <c r="M51" s="65">
        <f>L51/(E51+G51+I51)</f>
        <v>0.9009409684732167</v>
      </c>
      <c r="N51" s="87">
        <v>679804.03999999992</v>
      </c>
      <c r="O51" s="276">
        <f>'M19'!T6</f>
        <v>679804.03999999992</v>
      </c>
      <c r="P51" s="269">
        <v>0</v>
      </c>
      <c r="Q51" s="65">
        <f>O51/(E51+G51+I51)</f>
        <v>0.8438260748502795</v>
      </c>
      <c r="R51" s="631">
        <v>679804.03999999992</v>
      </c>
      <c r="S51" s="633">
        <f t="shared" si="1"/>
        <v>1</v>
      </c>
      <c r="T51" s="163">
        <f t="shared" si="11"/>
        <v>0</v>
      </c>
    </row>
    <row r="52" spans="1:20" ht="21.6" customHeight="1" x14ac:dyDescent="0.25">
      <c r="A52" s="834" t="s">
        <v>67</v>
      </c>
      <c r="B52" s="66" t="s">
        <v>152</v>
      </c>
      <c r="C52" s="776"/>
      <c r="D52" s="790"/>
      <c r="E52" s="835">
        <v>55609719.952666663</v>
      </c>
      <c r="F52" s="815">
        <v>38442536.001599997</v>
      </c>
      <c r="G52" s="762"/>
      <c r="H52" s="835">
        <f t="shared" si="0"/>
        <v>55609719.952666663</v>
      </c>
      <c r="I52" s="760">
        <v>11604813</v>
      </c>
      <c r="J52" s="765">
        <f>77588615+I52</f>
        <v>89193428</v>
      </c>
      <c r="K52" s="764">
        <v>9875315.9100000001</v>
      </c>
      <c r="L52" s="860">
        <f>K52+'M19'!M16</f>
        <v>79976505.859999985</v>
      </c>
      <c r="M52" s="793">
        <f>L52/(E52+G52+I52)</f>
        <v>1.1898692492041931</v>
      </c>
      <c r="N52" s="770">
        <v>27633837.990000002</v>
      </c>
      <c r="O52" s="856">
        <f>P52+'M19'!T16</f>
        <v>30011573.82</v>
      </c>
      <c r="P52" s="856">
        <v>9819828.6199999992</v>
      </c>
      <c r="Q52" s="793">
        <f>O52/(E52+G52+I52)</f>
        <v>0.44650423802147865</v>
      </c>
      <c r="R52" s="806">
        <v>30011573.82</v>
      </c>
      <c r="S52" s="844">
        <f t="shared" si="1"/>
        <v>0.53968216070041275</v>
      </c>
      <c r="T52" s="806">
        <f t="shared" si="11"/>
        <v>2377735.8299999982</v>
      </c>
    </row>
    <row r="53" spans="1:20" x14ac:dyDescent="0.25">
      <c r="A53" s="821"/>
      <c r="B53" s="66" t="s">
        <v>153</v>
      </c>
      <c r="C53" s="776"/>
      <c r="D53" s="790"/>
      <c r="E53" s="836"/>
      <c r="F53" s="817"/>
      <c r="G53" s="763"/>
      <c r="H53" s="836"/>
      <c r="I53" s="761"/>
      <c r="J53" s="765"/>
      <c r="K53" s="764"/>
      <c r="L53" s="861"/>
      <c r="M53" s="795"/>
      <c r="N53" s="771"/>
      <c r="O53" s="856"/>
      <c r="P53" s="856"/>
      <c r="Q53" s="795"/>
      <c r="R53" s="807"/>
      <c r="S53" s="844"/>
      <c r="T53" s="807"/>
    </row>
    <row r="54" spans="1:20" ht="22.5" x14ac:dyDescent="0.25">
      <c r="A54" s="94" t="s">
        <v>416</v>
      </c>
      <c r="B54" s="66" t="s">
        <v>70</v>
      </c>
      <c r="C54" s="776"/>
      <c r="D54" s="790"/>
      <c r="E54" s="621">
        <v>1595307.32</v>
      </c>
      <c r="F54" s="621">
        <v>960000</v>
      </c>
      <c r="G54" s="410"/>
      <c r="H54" s="621">
        <f t="shared" si="0"/>
        <v>1595307.32</v>
      </c>
      <c r="I54" s="595">
        <v>899325</v>
      </c>
      <c r="J54" s="627">
        <f>2500001+I54</f>
        <v>3399326</v>
      </c>
      <c r="K54" s="613">
        <v>507728.80000000005</v>
      </c>
      <c r="L54" s="119">
        <f>K54+'M19'!M26</f>
        <v>2801059.6800000006</v>
      </c>
      <c r="M54" s="65">
        <f t="shared" ref="M54:M59" si="12">L54/(E54+G54+I54)</f>
        <v>1.1228346788996946</v>
      </c>
      <c r="N54" s="252">
        <v>1132801.3999999999</v>
      </c>
      <c r="O54" s="252">
        <f>P54+'M19'!T26</f>
        <v>1193563.3099999998</v>
      </c>
      <c r="P54" s="280">
        <v>507728.80000000005</v>
      </c>
      <c r="Q54" s="65">
        <f t="shared" ref="Q54:Q58" si="13">O54/(E54+G54+I54)</f>
        <v>0.4784525961725693</v>
      </c>
      <c r="R54" s="631">
        <v>1193563.3099999998</v>
      </c>
      <c r="S54" s="633">
        <f t="shared" si="1"/>
        <v>0.74817139935144272</v>
      </c>
      <c r="T54" s="163">
        <f t="shared" si="3"/>
        <v>60761.909999999916</v>
      </c>
    </row>
    <row r="55" spans="1:20" x14ac:dyDescent="0.25">
      <c r="A55" s="94" t="s">
        <v>417</v>
      </c>
      <c r="B55" s="66" t="s">
        <v>72</v>
      </c>
      <c r="C55" s="776"/>
      <c r="D55" s="790"/>
      <c r="E55" s="617">
        <v>10359586.495333333</v>
      </c>
      <c r="F55" s="617">
        <v>4800000</v>
      </c>
      <c r="G55" s="410"/>
      <c r="H55" s="617">
        <f t="shared" si="0"/>
        <v>10359586.495333333</v>
      </c>
      <c r="I55" s="595">
        <v>5070045</v>
      </c>
      <c r="J55" s="627">
        <f>E55+I55</f>
        <v>15429631.495333333</v>
      </c>
      <c r="K55" s="614">
        <v>745746.45</v>
      </c>
      <c r="L55" s="119">
        <f>K55+'M19'!M34</f>
        <v>17111779.699999999</v>
      </c>
      <c r="M55" s="65">
        <f t="shared" si="12"/>
        <v>1.1090206337834725</v>
      </c>
      <c r="N55" s="252">
        <v>10770542.49</v>
      </c>
      <c r="O55" s="281">
        <f>P55+'M19'!T34</f>
        <v>11173122.1</v>
      </c>
      <c r="P55" s="280">
        <v>745746.45</v>
      </c>
      <c r="Q55" s="65">
        <f t="shared" si="13"/>
        <v>0.72413408598768492</v>
      </c>
      <c r="R55" s="631">
        <v>11173122.1</v>
      </c>
      <c r="S55" s="633">
        <f t="shared" si="1"/>
        <v>1.0785297371698319</v>
      </c>
      <c r="T55" s="163">
        <f>O55-N55</f>
        <v>402579.6099999994</v>
      </c>
    </row>
    <row r="56" spans="1:20" ht="22.5" x14ac:dyDescent="0.25">
      <c r="A56" s="67" t="s">
        <v>472</v>
      </c>
      <c r="B56" s="68" t="s">
        <v>154</v>
      </c>
      <c r="C56" s="647">
        <v>2469943</v>
      </c>
      <c r="D56" s="790"/>
      <c r="E56" s="617">
        <v>9506080.0222222228</v>
      </c>
      <c r="F56" s="617">
        <v>5748491</v>
      </c>
      <c r="G56" s="410">
        <f>+E56-P56</f>
        <v>7903817.262222223</v>
      </c>
      <c r="H56" s="617">
        <f t="shared" si="0"/>
        <v>17409897.284444444</v>
      </c>
      <c r="I56" s="404"/>
      <c r="J56" s="627">
        <v>11976022.92</v>
      </c>
      <c r="K56" s="575">
        <v>1602262.76</v>
      </c>
      <c r="L56" s="119">
        <v>9908010.5899999999</v>
      </c>
      <c r="M56" s="65">
        <f t="shared" si="12"/>
        <v>0.56910218527553869</v>
      </c>
      <c r="N56" s="281">
        <v>1602262.76</v>
      </c>
      <c r="O56" s="281">
        <v>1602262.76</v>
      </c>
      <c r="P56" s="269">
        <v>1602262.76</v>
      </c>
      <c r="Q56" s="65">
        <f t="shared" si="13"/>
        <v>9.2031718155603626E-2</v>
      </c>
      <c r="R56" s="631">
        <v>1602262.76</v>
      </c>
      <c r="S56" s="633">
        <f t="shared" si="1"/>
        <v>9.2031718155603626E-2</v>
      </c>
      <c r="T56" s="163">
        <f t="shared" si="3"/>
        <v>0</v>
      </c>
    </row>
    <row r="57" spans="1:20" ht="33.75" x14ac:dyDescent="0.25">
      <c r="A57" s="67" t="s">
        <v>315</v>
      </c>
      <c r="B57" s="68" t="s">
        <v>384</v>
      </c>
      <c r="C57" s="644">
        <v>0</v>
      </c>
      <c r="D57" s="790"/>
      <c r="E57" s="617">
        <v>1998000</v>
      </c>
      <c r="F57" s="617">
        <v>959040</v>
      </c>
      <c r="G57" s="410"/>
      <c r="H57" s="617">
        <f t="shared" si="0"/>
        <v>1998000</v>
      </c>
      <c r="I57" s="408">
        <v>2000000</v>
      </c>
      <c r="J57" s="627">
        <f>E57+I57</f>
        <v>3998000</v>
      </c>
      <c r="K57" s="610">
        <v>0</v>
      </c>
      <c r="L57" s="270">
        <f>'M21'!M7</f>
        <v>2954000</v>
      </c>
      <c r="M57" s="65">
        <f>L57/(E57+G57+I57)</f>
        <v>0.73886943471735866</v>
      </c>
      <c r="N57" s="270">
        <v>2888999.99</v>
      </c>
      <c r="O57" s="270">
        <f>'M21'!U6</f>
        <v>2888999.99</v>
      </c>
      <c r="P57" s="169">
        <v>0</v>
      </c>
      <c r="Q57" s="65">
        <f t="shared" si="13"/>
        <v>0.72261130315157585</v>
      </c>
      <c r="R57" s="631">
        <v>1998000</v>
      </c>
      <c r="S57" s="633">
        <f t="shared" si="1"/>
        <v>1</v>
      </c>
      <c r="T57" s="163">
        <f>O57-N57</f>
        <v>0</v>
      </c>
    </row>
    <row r="58" spans="1:20" x14ac:dyDescent="0.25">
      <c r="A58" s="833" t="s">
        <v>114</v>
      </c>
      <c r="B58" s="833"/>
      <c r="C58" s="645">
        <v>0</v>
      </c>
      <c r="D58" s="790"/>
      <c r="E58" s="617">
        <v>16200.169999999995</v>
      </c>
      <c r="F58" s="617">
        <v>7776.12</v>
      </c>
      <c r="G58" s="410"/>
      <c r="H58" s="617">
        <f>E58+G58</f>
        <v>16200.169999999995</v>
      </c>
      <c r="I58" s="408"/>
      <c r="J58" s="631">
        <v>16200.17</v>
      </c>
      <c r="K58" s="575">
        <v>16200.169999999995</v>
      </c>
      <c r="L58" s="269">
        <v>16200.169999999995</v>
      </c>
      <c r="M58" s="65">
        <f t="shared" si="12"/>
        <v>1</v>
      </c>
      <c r="N58" s="269">
        <v>16200.169999999995</v>
      </c>
      <c r="O58" s="269">
        <v>16200.169999999995</v>
      </c>
      <c r="P58" s="269">
        <v>16200.169999999995</v>
      </c>
      <c r="Q58" s="65">
        <f t="shared" si="13"/>
        <v>1</v>
      </c>
      <c r="R58" s="631">
        <v>16200.169999999995</v>
      </c>
      <c r="S58" s="633">
        <f>R58/H58</f>
        <v>1</v>
      </c>
      <c r="T58" s="163">
        <f t="shared" si="3"/>
        <v>0</v>
      </c>
    </row>
    <row r="59" spans="1:20" s="214" customFormat="1" ht="17.25" customHeight="1" x14ac:dyDescent="0.2">
      <c r="A59" s="155" t="s">
        <v>128</v>
      </c>
      <c r="B59" s="156"/>
      <c r="C59" s="640">
        <f>SUM(C6:C58)</f>
        <v>109935749</v>
      </c>
      <c r="D59" s="791"/>
      <c r="E59" s="289">
        <f t="shared" ref="E59:L59" si="14">SUM(E6:E58)</f>
        <v>1585192936.9704037</v>
      </c>
      <c r="F59" s="289">
        <f t="shared" si="14"/>
        <v>800189491.92240012</v>
      </c>
      <c r="G59" s="289">
        <f t="shared" si="14"/>
        <v>70135356.132222235</v>
      </c>
      <c r="H59" s="289">
        <f t="shared" si="14"/>
        <v>1655328293.1026256</v>
      </c>
      <c r="I59" s="289">
        <f t="shared" si="14"/>
        <v>53400000</v>
      </c>
      <c r="J59" s="238">
        <f>SUM(J6:J58)</f>
        <v>1767666641.103585</v>
      </c>
      <c r="K59" s="289">
        <f t="shared" si="14"/>
        <v>239686425.40644214</v>
      </c>
      <c r="L59" s="289">
        <f t="shared" si="14"/>
        <v>1791405453.5014658</v>
      </c>
      <c r="M59" s="55">
        <f t="shared" si="12"/>
        <v>1.0483852001120195</v>
      </c>
      <c r="N59" s="289">
        <f>SUM(N6:N58)</f>
        <v>1469151184.7942891</v>
      </c>
      <c r="O59" s="289">
        <f>SUM(O6:O58)</f>
        <v>1496036279.8416665</v>
      </c>
      <c r="P59" s="289">
        <f>SUM(P6:P58)</f>
        <v>239371013.06416652</v>
      </c>
      <c r="Q59" s="55">
        <f>O59/(E59+G59+I59)</f>
        <v>0.87552613594595341</v>
      </c>
      <c r="R59" s="289">
        <f>SUM(R6:R58)</f>
        <v>1488051759.8016663</v>
      </c>
      <c r="S59" s="636">
        <f>R59/H59</f>
        <v>0.89894661137735488</v>
      </c>
      <c r="T59" s="289">
        <f>SUM(T6:T58)</f>
        <v>26885095.047378011</v>
      </c>
    </row>
    <row r="60" spans="1:20" s="210" customFormat="1" ht="30.6" customHeight="1" x14ac:dyDescent="0.2">
      <c r="A60" s="797" t="s">
        <v>696</v>
      </c>
      <c r="B60" s="797"/>
      <c r="C60" s="798"/>
      <c r="D60" s="798"/>
      <c r="E60" s="797"/>
      <c r="F60" s="797"/>
      <c r="G60" s="797"/>
      <c r="H60" s="797"/>
      <c r="I60" s="797"/>
      <c r="J60" s="797"/>
      <c r="K60" s="797"/>
      <c r="L60" s="797"/>
      <c r="M60" s="797"/>
      <c r="N60" s="797"/>
      <c r="O60" s="797"/>
      <c r="P60" s="797"/>
      <c r="Q60" s="797"/>
      <c r="R60" s="797"/>
      <c r="S60" s="797"/>
      <c r="T60" s="797"/>
    </row>
    <row r="61" spans="1:20" ht="32.25" customHeight="1" x14ac:dyDescent="0.25">
      <c r="A61" s="799" t="s">
        <v>705</v>
      </c>
      <c r="B61" s="799"/>
      <c r="C61" s="799"/>
      <c r="D61" s="799"/>
      <c r="E61" s="799"/>
      <c r="F61" s="799"/>
      <c r="G61" s="799"/>
      <c r="H61" s="799"/>
      <c r="I61" s="799"/>
      <c r="J61" s="799"/>
      <c r="K61" s="799"/>
      <c r="L61" s="799"/>
      <c r="M61" s="799"/>
      <c r="N61" s="799"/>
      <c r="O61" s="799"/>
      <c r="P61" s="799"/>
      <c r="Q61" s="799"/>
      <c r="R61" s="799"/>
      <c r="S61" s="799"/>
      <c r="T61" s="799"/>
    </row>
    <row r="62" spans="1:20" ht="17.25" customHeight="1" x14ac:dyDescent="0.25">
      <c r="A62" s="826" t="s">
        <v>698</v>
      </c>
      <c r="B62" s="826"/>
      <c r="C62" s="826"/>
      <c r="D62" s="826"/>
      <c r="E62" s="826"/>
      <c r="F62" s="826"/>
      <c r="G62" s="826"/>
      <c r="H62" s="826"/>
      <c r="I62" s="826"/>
      <c r="J62" s="826"/>
      <c r="K62" s="826"/>
      <c r="L62" s="826"/>
      <c r="M62" s="826"/>
      <c r="N62" s="826"/>
      <c r="O62" s="826"/>
      <c r="P62" s="826"/>
      <c r="Q62" s="826"/>
      <c r="R62" s="826"/>
      <c r="S62" s="826"/>
      <c r="T62" s="826"/>
    </row>
    <row r="63" spans="1:20" ht="16.149999999999999" customHeight="1" x14ac:dyDescent="0.25">
      <c r="A63" s="826" t="s">
        <v>735</v>
      </c>
      <c r="B63" s="826"/>
      <c r="C63" s="826"/>
      <c r="D63" s="826"/>
      <c r="E63" s="826"/>
      <c r="F63" s="826"/>
      <c r="G63" s="826"/>
      <c r="H63" s="826"/>
      <c r="I63" s="826"/>
      <c r="J63" s="826"/>
      <c r="K63" s="826"/>
      <c r="L63" s="826"/>
      <c r="M63" s="826"/>
      <c r="N63" s="826"/>
      <c r="O63" s="826"/>
      <c r="P63" s="826"/>
      <c r="Q63" s="826"/>
      <c r="R63" s="826"/>
      <c r="S63" s="826"/>
      <c r="T63" s="826"/>
    </row>
    <row r="64" spans="1:20" ht="17.25" customHeight="1" x14ac:dyDescent="0.25">
      <c r="A64" s="826" t="s">
        <v>474</v>
      </c>
      <c r="B64" s="826"/>
      <c r="C64" s="826"/>
      <c r="D64" s="826"/>
      <c r="E64" s="826"/>
      <c r="F64" s="826"/>
      <c r="G64" s="826"/>
      <c r="H64" s="826"/>
      <c r="I64" s="826"/>
      <c r="J64" s="826"/>
      <c r="K64" s="826"/>
      <c r="L64" s="826"/>
      <c r="M64" s="826"/>
      <c r="N64" s="826"/>
      <c r="O64" s="826"/>
      <c r="P64" s="826"/>
      <c r="Q64" s="826"/>
      <c r="R64" s="826"/>
      <c r="S64" s="826"/>
      <c r="T64" s="826"/>
    </row>
    <row r="65" spans="1:20" x14ac:dyDescent="0.25">
      <c r="A65" s="826" t="s">
        <v>673</v>
      </c>
      <c r="B65" s="826"/>
      <c r="C65" s="826"/>
      <c r="D65" s="826"/>
      <c r="E65" s="826"/>
      <c r="F65" s="826"/>
      <c r="G65" s="826"/>
      <c r="H65" s="826"/>
      <c r="I65" s="826"/>
      <c r="J65" s="826"/>
      <c r="K65" s="826"/>
      <c r="L65" s="826"/>
      <c r="M65" s="826"/>
      <c r="N65" s="826"/>
      <c r="O65" s="826"/>
      <c r="P65" s="826"/>
      <c r="Q65" s="826"/>
      <c r="R65" s="826"/>
      <c r="S65" s="826"/>
      <c r="T65" s="826"/>
    </row>
    <row r="66" spans="1:20" x14ac:dyDescent="0.25">
      <c r="E66" s="596"/>
      <c r="F66" s="596"/>
      <c r="J66" s="207"/>
      <c r="K66" s="10"/>
      <c r="L66" s="93"/>
      <c r="O66" s="207"/>
    </row>
    <row r="67" spans="1:20" x14ac:dyDescent="0.25">
      <c r="J67" s="207"/>
      <c r="K67" s="10"/>
      <c r="L67" s="93"/>
    </row>
    <row r="68" spans="1:20" x14ac:dyDescent="0.25">
      <c r="A68" s="365"/>
      <c r="K68" s="10"/>
    </row>
    <row r="69" spans="1:20" x14ac:dyDescent="0.25">
      <c r="K69" s="10"/>
    </row>
    <row r="70" spans="1:20" x14ac:dyDescent="0.25">
      <c r="K70" s="10"/>
    </row>
    <row r="71" spans="1:20" x14ac:dyDescent="0.25">
      <c r="K71" s="10"/>
    </row>
    <row r="72" spans="1:20" x14ac:dyDescent="0.25">
      <c r="K72" s="10"/>
    </row>
    <row r="73" spans="1:20" x14ac:dyDescent="0.25">
      <c r="K73" s="10"/>
    </row>
    <row r="74" spans="1:20" x14ac:dyDescent="0.25">
      <c r="K74" s="10"/>
    </row>
    <row r="75" spans="1:20" x14ac:dyDescent="0.25">
      <c r="K75" s="10"/>
    </row>
    <row r="76" spans="1:20" x14ac:dyDescent="0.25">
      <c r="K76" s="10"/>
    </row>
    <row r="77" spans="1:20" x14ac:dyDescent="0.25">
      <c r="K77" s="10"/>
    </row>
    <row r="78" spans="1:20" x14ac:dyDescent="0.25">
      <c r="K78" s="10"/>
    </row>
    <row r="79" spans="1:20" x14ac:dyDescent="0.25">
      <c r="K79" s="10"/>
    </row>
    <row r="80" spans="1:20" x14ac:dyDescent="0.25">
      <c r="K80" s="10"/>
    </row>
    <row r="81" spans="11:11" x14ac:dyDescent="0.25">
      <c r="K81" s="10"/>
    </row>
    <row r="82" spans="11:11" x14ac:dyDescent="0.25">
      <c r="K82" s="10"/>
    </row>
    <row r="83" spans="11:11" x14ac:dyDescent="0.25">
      <c r="K83" s="10"/>
    </row>
    <row r="84" spans="11:11" x14ac:dyDescent="0.25">
      <c r="K84" s="10"/>
    </row>
    <row r="85" spans="11:11" x14ac:dyDescent="0.25">
      <c r="K85" s="10"/>
    </row>
    <row r="86" spans="11:11" x14ac:dyDescent="0.25">
      <c r="K86" s="10"/>
    </row>
    <row r="87" spans="11:11" x14ac:dyDescent="0.25">
      <c r="K87" s="10"/>
    </row>
    <row r="88" spans="11:11" x14ac:dyDescent="0.25">
      <c r="K88" s="10"/>
    </row>
    <row r="89" spans="11:11" x14ac:dyDescent="0.25">
      <c r="K89" s="10"/>
    </row>
    <row r="90" spans="11:11" x14ac:dyDescent="0.25">
      <c r="K90" s="10"/>
    </row>
    <row r="91" spans="11:11" x14ac:dyDescent="0.25">
      <c r="K91" s="10"/>
    </row>
    <row r="92" spans="11:11" x14ac:dyDescent="0.25">
      <c r="K92" s="10"/>
    </row>
    <row r="93" spans="11:11" x14ac:dyDescent="0.25">
      <c r="K93" s="10"/>
    </row>
    <row r="94" spans="11:11" x14ac:dyDescent="0.25">
      <c r="K94" s="10"/>
    </row>
    <row r="95" spans="11:11" x14ac:dyDescent="0.25">
      <c r="K95" s="10"/>
    </row>
    <row r="96" spans="11:11" x14ac:dyDescent="0.25">
      <c r="K96" s="10"/>
    </row>
    <row r="97" spans="11:11" x14ac:dyDescent="0.25">
      <c r="K97" s="10"/>
    </row>
    <row r="98" spans="11:11" x14ac:dyDescent="0.25">
      <c r="K98" s="10"/>
    </row>
    <row r="99" spans="11:11" x14ac:dyDescent="0.25">
      <c r="K99" s="10"/>
    </row>
    <row r="100" spans="11:11" x14ac:dyDescent="0.25">
      <c r="K100" s="10"/>
    </row>
    <row r="101" spans="11:11" x14ac:dyDescent="0.25">
      <c r="K101" s="10"/>
    </row>
    <row r="102" spans="11:11" x14ac:dyDescent="0.25">
      <c r="K102" s="10"/>
    </row>
    <row r="103" spans="11:11" x14ac:dyDescent="0.25">
      <c r="K103" s="10"/>
    </row>
    <row r="104" spans="11:11" x14ac:dyDescent="0.25">
      <c r="K104" s="10"/>
    </row>
    <row r="105" spans="11:11" x14ac:dyDescent="0.25">
      <c r="K105" s="10"/>
    </row>
    <row r="106" spans="11:11" x14ac:dyDescent="0.25">
      <c r="K106" s="10"/>
    </row>
    <row r="107" spans="11:11" x14ac:dyDescent="0.25">
      <c r="K107" s="10"/>
    </row>
    <row r="108" spans="11:11" x14ac:dyDescent="0.25">
      <c r="K108" s="10"/>
    </row>
    <row r="109" spans="11:11" x14ac:dyDescent="0.25">
      <c r="K109" s="10"/>
    </row>
    <row r="110" spans="11:11" x14ac:dyDescent="0.25">
      <c r="K110" s="10"/>
    </row>
    <row r="111" spans="11:11" x14ac:dyDescent="0.25">
      <c r="K111" s="10"/>
    </row>
    <row r="112" spans="11:11" x14ac:dyDescent="0.25">
      <c r="K112" s="10"/>
    </row>
    <row r="113" spans="11:11" x14ac:dyDescent="0.25">
      <c r="K113" s="10"/>
    </row>
    <row r="114" spans="11:11" x14ac:dyDescent="0.25">
      <c r="K114" s="10"/>
    </row>
    <row r="115" spans="11:11" x14ac:dyDescent="0.25">
      <c r="K115" s="10"/>
    </row>
    <row r="116" spans="11:11" x14ac:dyDescent="0.25">
      <c r="K116" s="10"/>
    </row>
    <row r="117" spans="11:11" x14ac:dyDescent="0.25">
      <c r="K117" s="10"/>
    </row>
    <row r="118" spans="11:11" x14ac:dyDescent="0.25">
      <c r="K118" s="10"/>
    </row>
    <row r="119" spans="11:11" x14ac:dyDescent="0.25">
      <c r="K119" s="10"/>
    </row>
    <row r="120" spans="11:11" x14ac:dyDescent="0.25">
      <c r="K120" s="10"/>
    </row>
    <row r="121" spans="11:11" x14ac:dyDescent="0.25">
      <c r="K121" s="10"/>
    </row>
    <row r="122" spans="11:11" x14ac:dyDescent="0.25">
      <c r="K122" s="10"/>
    </row>
    <row r="123" spans="11:11" x14ac:dyDescent="0.25">
      <c r="K123" s="10"/>
    </row>
    <row r="124" spans="11:11" x14ac:dyDescent="0.25">
      <c r="K124" s="10"/>
    </row>
    <row r="125" spans="11:11" x14ac:dyDescent="0.25">
      <c r="K125" s="10"/>
    </row>
    <row r="126" spans="11:11" x14ac:dyDescent="0.25">
      <c r="K126" s="10"/>
    </row>
    <row r="127" spans="11:11" x14ac:dyDescent="0.25">
      <c r="K127" s="10"/>
    </row>
    <row r="128" spans="11:11" x14ac:dyDescent="0.25">
      <c r="K128" s="10"/>
    </row>
    <row r="129" spans="11:11" x14ac:dyDescent="0.25">
      <c r="K129" s="10"/>
    </row>
  </sheetData>
  <mergeCells count="122">
    <mergeCell ref="S52:S53"/>
    <mergeCell ref="O2:T3"/>
    <mergeCell ref="J2:K3"/>
    <mergeCell ref="I3:I4"/>
    <mergeCell ref="H52:H53"/>
    <mergeCell ref="R30:R34"/>
    <mergeCell ref="R36:R37"/>
    <mergeCell ref="R38:R39"/>
    <mergeCell ref="R40:R43"/>
    <mergeCell ref="H3:H4"/>
    <mergeCell ref="H30:H34"/>
    <mergeCell ref="H36:H37"/>
    <mergeCell ref="H38:H39"/>
    <mergeCell ref="H40:H43"/>
    <mergeCell ref="O52:O53"/>
    <mergeCell ref="I36:I37"/>
    <mergeCell ref="I40:I43"/>
    <mergeCell ref="P52:P53"/>
    <mergeCell ref="N2:N4"/>
    <mergeCell ref="L52:L53"/>
    <mergeCell ref="V30:V34"/>
    <mergeCell ref="V37:V38"/>
    <mergeCell ref="V39:V40"/>
    <mergeCell ref="T30:T34"/>
    <mergeCell ref="O30:O34"/>
    <mergeCell ref="Q36:Q37"/>
    <mergeCell ref="N36:N37"/>
    <mergeCell ref="T36:T37"/>
    <mergeCell ref="P30:P34"/>
    <mergeCell ref="P36:P37"/>
    <mergeCell ref="S30:S34"/>
    <mergeCell ref="S36:S37"/>
    <mergeCell ref="S38:S39"/>
    <mergeCell ref="S40:S43"/>
    <mergeCell ref="A65:T65"/>
    <mergeCell ref="A64:T64"/>
    <mergeCell ref="A40:A43"/>
    <mergeCell ref="M38:M39"/>
    <mergeCell ref="E38:E39"/>
    <mergeCell ref="A63:T63"/>
    <mergeCell ref="N38:N39"/>
    <mergeCell ref="O38:O39"/>
    <mergeCell ref="P38:P39"/>
    <mergeCell ref="Q38:Q39"/>
    <mergeCell ref="A58:B58"/>
    <mergeCell ref="A52:A53"/>
    <mergeCell ref="E52:E53"/>
    <mergeCell ref="R52:R53"/>
    <mergeCell ref="F52:F53"/>
    <mergeCell ref="A62:T62"/>
    <mergeCell ref="F38:F39"/>
    <mergeCell ref="F40:F43"/>
    <mergeCell ref="C38:C39"/>
    <mergeCell ref="C40:C43"/>
    <mergeCell ref="C45:C50"/>
    <mergeCell ref="C51:C55"/>
    <mergeCell ref="Q40:Q43"/>
    <mergeCell ref="Q52:Q53"/>
    <mergeCell ref="A2:A5"/>
    <mergeCell ref="L2:L4"/>
    <mergeCell ref="M2:M4"/>
    <mergeCell ref="M36:M37"/>
    <mergeCell ref="J36:J37"/>
    <mergeCell ref="L30:L34"/>
    <mergeCell ref="I30:I34"/>
    <mergeCell ref="G30:G34"/>
    <mergeCell ref="A12:A13"/>
    <mergeCell ref="A18:A19"/>
    <mergeCell ref="K36:K37"/>
    <mergeCell ref="L36:L37"/>
    <mergeCell ref="E36:E37"/>
    <mergeCell ref="F30:F34"/>
    <mergeCell ref="F36:F37"/>
    <mergeCell ref="G36:G37"/>
    <mergeCell ref="G40:G43"/>
    <mergeCell ref="L40:L43"/>
    <mergeCell ref="M40:M43"/>
    <mergeCell ref="N40:N43"/>
    <mergeCell ref="A1:T1"/>
    <mergeCell ref="A60:T60"/>
    <mergeCell ref="A61:T61"/>
    <mergeCell ref="A30:A34"/>
    <mergeCell ref="E30:E34"/>
    <mergeCell ref="O36:O37"/>
    <mergeCell ref="Q30:Q34"/>
    <mergeCell ref="M30:M34"/>
    <mergeCell ref="N30:N34"/>
    <mergeCell ref="J30:J34"/>
    <mergeCell ref="K30:K34"/>
    <mergeCell ref="J38:J39"/>
    <mergeCell ref="K38:K39"/>
    <mergeCell ref="L38:L39"/>
    <mergeCell ref="T38:T39"/>
    <mergeCell ref="J40:J43"/>
    <mergeCell ref="T40:T43"/>
    <mergeCell ref="T52:T53"/>
    <mergeCell ref="E40:E43"/>
    <mergeCell ref="M52:M53"/>
    <mergeCell ref="G38:G39"/>
    <mergeCell ref="I52:I53"/>
    <mergeCell ref="G52:G53"/>
    <mergeCell ref="K52:K53"/>
    <mergeCell ref="J52:J53"/>
    <mergeCell ref="P40:P43"/>
    <mergeCell ref="K40:K43"/>
    <mergeCell ref="N52:N53"/>
    <mergeCell ref="B2:B5"/>
    <mergeCell ref="C16:C19"/>
    <mergeCell ref="C20:C25"/>
    <mergeCell ref="C26:C28"/>
    <mergeCell ref="C30:C35"/>
    <mergeCell ref="O40:O43"/>
    <mergeCell ref="C2:I2"/>
    <mergeCell ref="C3:C5"/>
    <mergeCell ref="C8:C9"/>
    <mergeCell ref="C10:C13"/>
    <mergeCell ref="C14:C15"/>
    <mergeCell ref="E3:F3"/>
    <mergeCell ref="G3:G4"/>
    <mergeCell ref="C36:C37"/>
    <mergeCell ref="D3:D5"/>
    <mergeCell ref="D6:D59"/>
  </mergeCells>
  <printOptions horizontalCentered="1"/>
  <pageMargins left="0.23622047244094491" right="0.23622047244094491" top="0.74803149606299213" bottom="0.74803149606299213" header="0.31496062992125984" footer="0.31496062992125984"/>
  <pageSetup paperSize="9" scale="52" fitToHeight="0" orientation="landscape" r:id="rId1"/>
  <rowBreaks count="1" manualBreakCount="1">
    <brk id="34"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47A0F-FB4B-4C8B-B8BB-F1220EB407E4}">
  <sheetPr>
    <pageSetUpPr fitToPage="1"/>
  </sheetPr>
  <dimension ref="A1:S25"/>
  <sheetViews>
    <sheetView view="pageBreakPreview" topLeftCell="A10" zoomScale="90" zoomScaleNormal="90" zoomScaleSheetLayoutView="90" workbookViewId="0">
      <selection activeCell="A20" sqref="A20:R20"/>
    </sheetView>
  </sheetViews>
  <sheetFormatPr defaultColWidth="32" defaultRowHeight="11.25" x14ac:dyDescent="0.2"/>
  <cols>
    <col min="1" max="1" width="13" style="5" customWidth="1"/>
    <col min="2" max="2" width="12.5703125" style="668" customWidth="1"/>
    <col min="3" max="3" width="15.28515625" style="668" customWidth="1"/>
    <col min="4" max="4" width="15.140625" style="668" customWidth="1"/>
    <col min="5" max="5" width="11.42578125" style="5" customWidth="1"/>
    <col min="6" max="6" width="9.7109375" style="5" customWidth="1"/>
    <col min="7" max="7" width="20.28515625" style="5" customWidth="1"/>
    <col min="8" max="8" width="10.7109375" style="5" customWidth="1"/>
    <col min="9" max="9" width="17.42578125" style="5" customWidth="1"/>
    <col min="10" max="10" width="13.5703125" style="5" customWidth="1"/>
    <col min="11" max="12" width="18.42578125" style="5" customWidth="1"/>
    <col min="13" max="13" width="11" style="5" customWidth="1"/>
    <col min="14" max="14" width="13.42578125" style="5" customWidth="1"/>
    <col min="15" max="16" width="13.5703125" style="5" customWidth="1"/>
    <col min="17" max="17" width="14.42578125" style="5" customWidth="1"/>
    <col min="18" max="18" width="14.140625" style="669" customWidth="1"/>
    <col min="19" max="19" width="17" style="5" customWidth="1"/>
    <col min="20" max="16384" width="32" style="5"/>
  </cols>
  <sheetData>
    <row r="1" spans="1:19" ht="15.75" customHeight="1" x14ac:dyDescent="0.25">
      <c r="A1" s="1014" t="s">
        <v>784</v>
      </c>
      <c r="B1" s="1014"/>
      <c r="C1" s="1014"/>
      <c r="D1" s="1014"/>
      <c r="E1" s="1014"/>
      <c r="F1" s="1014"/>
      <c r="G1" s="1014"/>
      <c r="H1" s="1014"/>
      <c r="I1" s="1014"/>
      <c r="J1" s="1014"/>
      <c r="K1" s="1014"/>
      <c r="L1" s="1014"/>
      <c r="M1" s="1014"/>
      <c r="N1" s="1014"/>
      <c r="O1" s="1014"/>
      <c r="P1" s="1014"/>
      <c r="Q1" s="1014"/>
      <c r="R1" s="1014"/>
    </row>
    <row r="2" spans="1:19" ht="21" customHeight="1" x14ac:dyDescent="0.2">
      <c r="A2" s="1020" t="s">
        <v>761</v>
      </c>
      <c r="B2" s="1051" t="s">
        <v>785</v>
      </c>
      <c r="C2" s="1051"/>
      <c r="D2" s="1012" t="s">
        <v>770</v>
      </c>
      <c r="E2" s="1012" t="s">
        <v>764</v>
      </c>
      <c r="F2" s="1052" t="s">
        <v>765</v>
      </c>
      <c r="G2" s="1053"/>
      <c r="H2" s="1056" t="s">
        <v>675</v>
      </c>
      <c r="I2" s="1052"/>
      <c r="J2" s="1052"/>
      <c r="K2" s="1052"/>
      <c r="L2" s="1052"/>
      <c r="M2" s="1052"/>
      <c r="N2" s="1053"/>
      <c r="O2" s="1020" t="s">
        <v>786</v>
      </c>
      <c r="P2" s="1020"/>
      <c r="Q2" s="1020"/>
      <c r="R2" s="1020"/>
      <c r="S2" s="1020"/>
    </row>
    <row r="3" spans="1:19" ht="15.75" customHeight="1" x14ac:dyDescent="0.2">
      <c r="A3" s="1020"/>
      <c r="B3" s="1051"/>
      <c r="C3" s="1051"/>
      <c r="D3" s="1015"/>
      <c r="E3" s="1015"/>
      <c r="F3" s="1054"/>
      <c r="G3" s="1055"/>
      <c r="H3" s="1057"/>
      <c r="I3" s="1054"/>
      <c r="J3" s="1054"/>
      <c r="K3" s="1054"/>
      <c r="L3" s="1054"/>
      <c r="M3" s="1054"/>
      <c r="N3" s="1055"/>
      <c r="O3" s="1020"/>
      <c r="P3" s="1020"/>
      <c r="Q3" s="1020"/>
      <c r="R3" s="1020"/>
      <c r="S3" s="1020"/>
    </row>
    <row r="4" spans="1:19" s="649" customFormat="1" ht="18.75" customHeight="1" x14ac:dyDescent="0.25">
      <c r="A4" s="1020"/>
      <c r="B4" s="1051" t="s">
        <v>787</v>
      </c>
      <c r="C4" s="1051" t="s">
        <v>788</v>
      </c>
      <c r="D4" s="1015"/>
      <c r="E4" s="1015"/>
      <c r="F4" s="1012" t="s">
        <v>769</v>
      </c>
      <c r="G4" s="1012" t="s">
        <v>789</v>
      </c>
      <c r="H4" s="1012" t="s">
        <v>790</v>
      </c>
      <c r="I4" s="1012" t="s">
        <v>791</v>
      </c>
      <c r="J4" s="1012" t="s">
        <v>792</v>
      </c>
      <c r="K4" s="1012" t="s">
        <v>793</v>
      </c>
      <c r="L4" s="1012" t="s">
        <v>794</v>
      </c>
      <c r="M4" s="1012" t="s">
        <v>795</v>
      </c>
      <c r="N4" s="1012" t="s">
        <v>796</v>
      </c>
      <c r="O4" s="1020" t="s">
        <v>797</v>
      </c>
      <c r="P4" s="1020"/>
      <c r="Q4" s="1020"/>
      <c r="R4" s="1020"/>
      <c r="S4" s="1020" t="s">
        <v>798</v>
      </c>
    </row>
    <row r="5" spans="1:19" s="649" customFormat="1" ht="39" customHeight="1" x14ac:dyDescent="0.25">
      <c r="A5" s="1020"/>
      <c r="B5" s="1051"/>
      <c r="C5" s="1051"/>
      <c r="D5" s="1013"/>
      <c r="E5" s="1013"/>
      <c r="F5" s="1013"/>
      <c r="G5" s="1013"/>
      <c r="H5" s="1013"/>
      <c r="I5" s="1013"/>
      <c r="J5" s="1013"/>
      <c r="K5" s="1013"/>
      <c r="L5" s="1013"/>
      <c r="M5" s="1013"/>
      <c r="N5" s="1013"/>
      <c r="O5" s="648" t="s">
        <v>1</v>
      </c>
      <c r="P5" s="648" t="s">
        <v>799</v>
      </c>
      <c r="Q5" s="648" t="s">
        <v>2</v>
      </c>
      <c r="R5" s="650" t="s">
        <v>774</v>
      </c>
      <c r="S5" s="1020"/>
    </row>
    <row r="6" spans="1:19" s="649" customFormat="1" x14ac:dyDescent="0.25">
      <c r="A6" s="651" t="s">
        <v>305</v>
      </c>
      <c r="B6" s="652" t="s">
        <v>306</v>
      </c>
      <c r="C6" s="671" t="s">
        <v>307</v>
      </c>
      <c r="D6" s="651" t="s">
        <v>308</v>
      </c>
      <c r="E6" s="653" t="s">
        <v>309</v>
      </c>
      <c r="F6" s="651" t="s">
        <v>517</v>
      </c>
      <c r="G6" s="653" t="s">
        <v>642</v>
      </c>
      <c r="H6" s="651" t="s">
        <v>310</v>
      </c>
      <c r="I6" s="653" t="s">
        <v>775</v>
      </c>
      <c r="J6" s="653" t="s">
        <v>518</v>
      </c>
      <c r="K6" s="651" t="s">
        <v>753</v>
      </c>
      <c r="L6" s="653" t="s">
        <v>741</v>
      </c>
      <c r="M6" s="653" t="s">
        <v>776</v>
      </c>
      <c r="N6" s="653" t="s">
        <v>755</v>
      </c>
      <c r="O6" s="652" t="s">
        <v>778</v>
      </c>
      <c r="P6" s="653" t="s">
        <v>757</v>
      </c>
      <c r="Q6" s="653" t="s">
        <v>800</v>
      </c>
      <c r="R6" s="653" t="s">
        <v>801</v>
      </c>
      <c r="S6" s="653" t="s">
        <v>802</v>
      </c>
    </row>
    <row r="7" spans="1:19" ht="22.5" customHeight="1" x14ac:dyDescent="0.2">
      <c r="A7" s="1030" t="s">
        <v>40</v>
      </c>
      <c r="B7" s="1066">
        <v>238037672.48379999</v>
      </c>
      <c r="C7" s="1066">
        <v>128918484.09</v>
      </c>
      <c r="D7" s="1066">
        <f>+G18+K18</f>
        <v>239829274.17077592</v>
      </c>
      <c r="E7" s="641" t="s">
        <v>780</v>
      </c>
      <c r="F7" s="672">
        <v>1296</v>
      </c>
      <c r="G7" s="665">
        <v>6281351.0625054855</v>
      </c>
      <c r="H7" s="1069"/>
      <c r="I7" s="1069"/>
      <c r="J7" s="1069"/>
      <c r="K7" s="1069"/>
      <c r="L7" s="1069"/>
      <c r="M7" s="1069"/>
      <c r="N7" s="1069"/>
      <c r="O7" s="1060">
        <f>+'Dett. 10.1 FEASR+EURI+TOP UP'!K18+'Dett. 10.1 FEASR+EURI+TOP UP'!K31+'Dett. 10.1 FEASR+EURI+TOP UP'!K37+'Dett. 10.1 FEASR+EURI+TOP UP'!K51+'Dett. 10.1 FEASR+EURI+TOP UP'!K41</f>
        <v>237246093.89755946</v>
      </c>
      <c r="P7" s="673"/>
      <c r="Q7" s="1060">
        <f>+'Dett. 10.1 FEASR+EURI+TOP UP'!N18+'Dett. 10.1 FEASR+EURI+TOP UP'!N31+'Dett. 10.1 FEASR+EURI+TOP UP'!N37+'Dett. 10.1 FEASR+EURI+TOP UP'!N51</f>
        <v>83920532.772275597</v>
      </c>
      <c r="R7" s="1062">
        <f>+Q7/O7</f>
        <v>0.35372777436964531</v>
      </c>
      <c r="S7" s="1060">
        <v>128205407.7684</v>
      </c>
    </row>
    <row r="8" spans="1:19" ht="15" customHeight="1" x14ac:dyDescent="0.2">
      <c r="A8" s="1031"/>
      <c r="B8" s="1067"/>
      <c r="C8" s="1067"/>
      <c r="D8" s="1067"/>
      <c r="E8" s="641">
        <v>2015</v>
      </c>
      <c r="F8" s="674">
        <v>5281</v>
      </c>
      <c r="G8" s="665">
        <v>25582997.255702756</v>
      </c>
      <c r="H8" s="1069"/>
      <c r="I8" s="1069"/>
      <c r="J8" s="1069"/>
      <c r="K8" s="1069"/>
      <c r="L8" s="1069"/>
      <c r="M8" s="1069"/>
      <c r="N8" s="1069"/>
      <c r="O8" s="1061"/>
      <c r="P8" s="675"/>
      <c r="Q8" s="1061"/>
      <c r="R8" s="1063"/>
      <c r="S8" s="1061"/>
    </row>
    <row r="9" spans="1:19" ht="15" customHeight="1" x14ac:dyDescent="0.2">
      <c r="A9" s="1031"/>
      <c r="B9" s="1067"/>
      <c r="C9" s="1067"/>
      <c r="D9" s="1067"/>
      <c r="E9" s="641">
        <v>2016</v>
      </c>
      <c r="F9" s="674">
        <v>4554</v>
      </c>
      <c r="G9" s="665">
        <v>21400411.514340911</v>
      </c>
      <c r="H9" s="676">
        <f>+'Dett. 10.1 FEASR+EURI+TOP UP'!D8+'Dett. 10.1 FEASR+EURI+TOP UP'!D21</f>
        <v>4374</v>
      </c>
      <c r="I9" s="386">
        <f>+'Dett. 10.1 FEASR+EURI+TOP UP'!E8+'Dett. 10.1 FEASR+EURI+TOP UP'!E21</f>
        <v>22567963.956300043</v>
      </c>
      <c r="J9" s="386">
        <f>+'Dett. 10.1 FEASR+EURI+TOP UP'!F8+'Dett. 10.1 FEASR+EURI+TOP UP'!F21</f>
        <v>18929905.120000053</v>
      </c>
      <c r="K9" s="386">
        <f>+'Dett. 10.1 FEASR+EURI+TOP UP'!G8+'Dett. 10.1 FEASR+EURI+TOP UP'!G21</f>
        <v>19323948.610000063</v>
      </c>
      <c r="L9" s="386">
        <f>+'Dett. 10.1 FEASR+EURI+TOP UP'!H8+'Dett. 10.1 FEASR+EURI+TOP UP'!H21</f>
        <v>19323948.610000059</v>
      </c>
      <c r="M9" s="676">
        <f>+'Dett. 10.1 FEASR+EURI+TOP UP'!I8+'Dett. 10.1 FEASR+EURI+TOP UP'!I21</f>
        <v>3825</v>
      </c>
      <c r="N9" s="676">
        <f>+'Dett. 10.1 FEASR+EURI+TOP UP'!J8+'Dett. 10.1 FEASR+EURI+TOP UP'!J21</f>
        <v>44</v>
      </c>
      <c r="O9" s="1061"/>
      <c r="P9" s="675"/>
      <c r="Q9" s="1061"/>
      <c r="R9" s="1063"/>
      <c r="S9" s="1061"/>
    </row>
    <row r="10" spans="1:19" ht="15" customHeight="1" x14ac:dyDescent="0.2">
      <c r="A10" s="1031"/>
      <c r="B10" s="1067"/>
      <c r="C10" s="1067"/>
      <c r="D10" s="1067"/>
      <c r="E10" s="641">
        <v>2017</v>
      </c>
      <c r="F10" s="674">
        <v>3559</v>
      </c>
      <c r="G10" s="665">
        <v>14425552.867408065</v>
      </c>
      <c r="H10" s="676">
        <f>+'Dett. 10.1 FEASR+EURI+TOP UP'!D9+'Dett. 10.1 FEASR+EURI+TOP UP'!D22</f>
        <v>4017</v>
      </c>
      <c r="I10" s="386">
        <f>+'Dett. 10.1 FEASR+EURI+TOP UP'!E9+'Dett. 10.1 FEASR+EURI+TOP UP'!E22</f>
        <v>21600996.83450003</v>
      </c>
      <c r="J10" s="386">
        <f>+'Dett. 10.1 FEASR+EURI+TOP UP'!F9+'Dett. 10.1 FEASR+EURI+TOP UP'!F22</f>
        <v>15984724.640000014</v>
      </c>
      <c r="K10" s="386">
        <f>+'Dett. 10.1 FEASR+EURI+TOP UP'!G9+'Dett. 10.1 FEASR+EURI+TOP UP'!G22</f>
        <v>15953179.22000001</v>
      </c>
      <c r="L10" s="386">
        <f>+'Dett. 10.1 FEASR+EURI+TOP UP'!H9+'Dett. 10.1 FEASR+EURI+TOP UP'!H22</f>
        <v>15953179.22000001</v>
      </c>
      <c r="M10" s="676">
        <f>+'Dett. 10.1 FEASR+EURI+TOP UP'!I9+'Dett. 10.1 FEASR+EURI+TOP UP'!I22</f>
        <v>3605</v>
      </c>
      <c r="N10" s="676">
        <f>+'Dett. 10.1 FEASR+EURI+TOP UP'!J9+'Dett. 10.1 FEASR+EURI+TOP UP'!J22</f>
        <v>118</v>
      </c>
      <c r="O10" s="1061"/>
      <c r="P10" s="675"/>
      <c r="Q10" s="1061"/>
      <c r="R10" s="1063"/>
      <c r="S10" s="1061"/>
    </row>
    <row r="11" spans="1:19" ht="14.25" customHeight="1" x14ac:dyDescent="0.2">
      <c r="A11" s="1031"/>
      <c r="B11" s="1067"/>
      <c r="C11" s="1067"/>
      <c r="D11" s="1067"/>
      <c r="E11" s="641">
        <v>2018</v>
      </c>
      <c r="F11" s="660">
        <v>2824</v>
      </c>
      <c r="G11" s="655">
        <v>10885625.130942296</v>
      </c>
      <c r="H11" s="676">
        <f>+'Dett. 10.1 FEASR+EURI+TOP UP'!D10+'Dett. 10.1 FEASR+EURI+TOP UP'!D23</f>
        <v>3912</v>
      </c>
      <c r="I11" s="386">
        <f>+'Dett. 10.1 FEASR+EURI+TOP UP'!E10+'Dett. 10.1 FEASR+EURI+TOP UP'!E23</f>
        <v>21632892.093100011</v>
      </c>
      <c r="J11" s="386">
        <f>+'Dett. 10.1 FEASR+EURI+TOP UP'!F10+'Dett. 10.1 FEASR+EURI+TOP UP'!F23</f>
        <v>15935956.070000028</v>
      </c>
      <c r="K11" s="386">
        <f>+'Dett. 10.1 FEASR+EURI+TOP UP'!G10+'Dett. 10.1 FEASR+EURI+TOP UP'!G23</f>
        <v>15554554.610000029</v>
      </c>
      <c r="L11" s="386">
        <f>+'Dett. 10.1 FEASR+EURI+TOP UP'!H10+'Dett. 10.1 FEASR+EURI+TOP UP'!H23</f>
        <v>15554554.610000029</v>
      </c>
      <c r="M11" s="676">
        <f>+'Dett. 10.1 FEASR+EURI+TOP UP'!I10+'Dett. 10.1 FEASR+EURI+TOP UP'!I23</f>
        <v>3494</v>
      </c>
      <c r="N11" s="676">
        <f>+'Dett. 10.1 FEASR+EURI+TOP UP'!J10+'Dett. 10.1 FEASR+EURI+TOP UP'!J23</f>
        <v>170</v>
      </c>
      <c r="O11" s="1061"/>
      <c r="P11" s="675"/>
      <c r="Q11" s="1061"/>
      <c r="R11" s="1063"/>
      <c r="S11" s="1061"/>
    </row>
    <row r="12" spans="1:19" ht="15" customHeight="1" x14ac:dyDescent="0.2">
      <c r="A12" s="1031"/>
      <c r="B12" s="1067"/>
      <c r="C12" s="1067"/>
      <c r="D12" s="1067"/>
      <c r="E12" s="641">
        <v>2019</v>
      </c>
      <c r="F12" s="660">
        <v>1359</v>
      </c>
      <c r="G12" s="655">
        <v>5344594.9413760798</v>
      </c>
      <c r="H12" s="676">
        <f>+'Dett. 10.1 FEASR+EURI+TOP UP'!D11+'Dett. 10.1 FEASR+EURI+TOP UP'!D24</f>
        <v>3887</v>
      </c>
      <c r="I12" s="386">
        <f>+'Dett. 10.1 FEASR+EURI+TOP UP'!E11+'Dett. 10.1 FEASR+EURI+TOP UP'!E24</f>
        <v>21679109.119700007</v>
      </c>
      <c r="J12" s="386">
        <f>+'Dett. 10.1 FEASR+EURI+TOP UP'!F11+'Dett. 10.1 FEASR+EURI+TOP UP'!F24</f>
        <v>16478043.870000057</v>
      </c>
      <c r="K12" s="386">
        <f>+'Dett. 10.1 FEASR+EURI+TOP UP'!G11+'Dett. 10.1 FEASR+EURI+TOP UP'!G24</f>
        <v>16085105.520000065</v>
      </c>
      <c r="L12" s="386">
        <f>+'Dett. 10.1 FEASR+EURI+TOP UP'!H11+'Dett. 10.1 FEASR+EURI+TOP UP'!H24</f>
        <v>16085105.520000065</v>
      </c>
      <c r="M12" s="676">
        <f>+'Dett. 10.1 FEASR+EURI+TOP UP'!I11+'Dett. 10.1 FEASR+EURI+TOP UP'!I24</f>
        <v>3570</v>
      </c>
      <c r="N12" s="676">
        <f>+'Dett. 10.1 FEASR+EURI+TOP UP'!J11+'Dett. 10.1 FEASR+EURI+TOP UP'!J24</f>
        <v>131</v>
      </c>
      <c r="O12" s="1061"/>
      <c r="P12" s="675"/>
      <c r="Q12" s="1061"/>
      <c r="R12" s="1063"/>
      <c r="S12" s="1061"/>
    </row>
    <row r="13" spans="1:19" ht="15" customHeight="1" x14ac:dyDescent="0.2">
      <c r="A13" s="1031"/>
      <c r="B13" s="1067"/>
      <c r="C13" s="1067"/>
      <c r="D13" s="1067"/>
      <c r="E13" s="641">
        <v>2020</v>
      </c>
      <c r="F13" s="1042"/>
      <c r="G13" s="1044"/>
      <c r="H13" s="676">
        <f>+'Dett. 10.1 FEASR+EURI+TOP UP'!D12+'Dett. 10.1 FEASR+EURI+TOP UP'!D25+'Dett. 10.1 FEASR+EURI+TOP UP'!D48</f>
        <v>6030</v>
      </c>
      <c r="I13" s="386">
        <f>+'Dett. 10.1 FEASR+EURI+TOP UP'!E12+'Dett. 10.1 FEASR+EURI+TOP UP'!E25+'Dett. 10.1 FEASR+EURI+TOP UP'!E48</f>
        <v>26935085.004200023</v>
      </c>
      <c r="J13" s="386">
        <f>+'Dett. 10.1 FEASR+EURI+TOP UP'!F12+'Dett. 10.1 FEASR+EURI+TOP UP'!F25+'Dett. 10.1 FEASR+EURI+TOP UP'!F48</f>
        <v>19217082.800000034</v>
      </c>
      <c r="K13" s="386">
        <f>+'Dett. 10.1 FEASR+EURI+TOP UP'!G12+'Dett. 10.1 FEASR+EURI+TOP UP'!G25+'Dett. 10.1 FEASR+EURI+TOP UP'!G48</f>
        <v>18952371.958500054</v>
      </c>
      <c r="L13" s="386">
        <f>+'Dett. 10.1 FEASR+EURI+TOP UP'!H12+'Dett. 10.1 FEASR+EURI+TOP UP'!H25+'Dett. 10.1 FEASR+EURI+TOP UP'!H48</f>
        <v>18952371.958500054</v>
      </c>
      <c r="M13" s="676">
        <f>+'Dett. 10.1 FEASR+EURI+TOP UP'!I12+'Dett. 10.1 FEASR+EURI+TOP UP'!I25+'Dett. 10.1 FEASR+EURI+TOP UP'!I48</f>
        <v>5145</v>
      </c>
      <c r="N13" s="676">
        <f>+'Dett. 10.1 FEASR+EURI+TOP UP'!J12+'Dett. 10.1 FEASR+EURI+TOP UP'!J25+'Dett. 10.1 FEASR+EURI+TOP UP'!J48</f>
        <v>212</v>
      </c>
      <c r="O13" s="1061"/>
      <c r="P13" s="675"/>
      <c r="Q13" s="1061"/>
      <c r="R13" s="1063"/>
      <c r="S13" s="1061"/>
    </row>
    <row r="14" spans="1:19" ht="15" customHeight="1" x14ac:dyDescent="0.2">
      <c r="A14" s="1031"/>
      <c r="B14" s="1067"/>
      <c r="C14" s="1067"/>
      <c r="D14" s="1067"/>
      <c r="E14" s="641">
        <v>2021</v>
      </c>
      <c r="F14" s="1045"/>
      <c r="G14" s="1047"/>
      <c r="H14" s="676">
        <f>+'Dett. 10.1 FEASR+EURI+TOP UP'!D13+'Dett. 10.1 FEASR+EURI+TOP UP'!D15+'Dett. 10.1 FEASR+EURI+TOP UP'!D27+'Dett. 10.1 FEASR+EURI+TOP UP'!D49</f>
        <v>9867</v>
      </c>
      <c r="I14" s="386">
        <f>+'Dett. 10.1 FEASR+EURI+TOP UP'!E13+'Dett. 10.1 FEASR+EURI+TOP UP'!E15+'Dett. 10.1 FEASR+EURI+TOP UP'!E27+'Dett. 10.1 FEASR+EURI+TOP UP'!E49</f>
        <v>49890528.700000115</v>
      </c>
      <c r="J14" s="386">
        <f>+'Dett. 10.1 FEASR+EURI+TOP UP'!F13+'Dett. 10.1 FEASR+EURI+TOP UP'!F15+'Dett. 10.1 FEASR+EURI+TOP UP'!F27+'Dett. 10.1 FEASR+EURI+TOP UP'!F49</f>
        <v>43426244.460000113</v>
      </c>
      <c r="K14" s="386">
        <f>+'Dett. 10.1 FEASR+EURI+TOP UP'!G13+'Dett. 10.1 FEASR+EURI+TOP UP'!G15+'Dett. 10.1 FEASR+EURI+TOP UP'!G27+'Dett. 10.1 FEASR+EURI+TOP UP'!G49</f>
        <v>42224486.120000117</v>
      </c>
      <c r="L14" s="386">
        <f>+'Dett. 10.1 FEASR+EURI+TOP UP'!H13+'Dett. 10.1 FEASR+EURI+TOP UP'!H15+'Dett. 10.1 FEASR+EURI+TOP UP'!H27+'Dett. 10.1 FEASR+EURI+TOP UP'!H49</f>
        <v>42224486.120000117</v>
      </c>
      <c r="M14" s="676">
        <f>+'Dett. 10.1 FEASR+EURI+TOP UP'!I13+'Dett. 10.1 FEASR+EURI+TOP UP'!I15+'Dett. 10.1 FEASR+EURI+TOP UP'!I27+'Dett. 10.1 FEASR+EURI+TOP UP'!I49</f>
        <v>8815</v>
      </c>
      <c r="N14" s="676">
        <f>+'Dett. 10.1 FEASR+EURI+TOP UP'!J13+'Dett. 10.1 FEASR+EURI+TOP UP'!J15+'Dett. 10.1 FEASR+EURI+TOP UP'!J27+'Dett. 10.1 FEASR+EURI+TOP UP'!J49</f>
        <v>149</v>
      </c>
      <c r="O14" s="1061"/>
      <c r="P14" s="1065">
        <f>+'Dett. 10.1 FEASR+EURI+TOP UP'!L18</f>
        <v>27526622.859999999</v>
      </c>
      <c r="Q14" s="1061"/>
      <c r="R14" s="1063"/>
      <c r="S14" s="1061"/>
    </row>
    <row r="15" spans="1:19" ht="15" customHeight="1" x14ac:dyDescent="0.2">
      <c r="A15" s="1031"/>
      <c r="B15" s="1067"/>
      <c r="C15" s="1067"/>
      <c r="D15" s="1067"/>
      <c r="E15" s="641">
        <v>2022</v>
      </c>
      <c r="F15" s="1045"/>
      <c r="G15" s="1047"/>
      <c r="H15" s="676">
        <f>+'Dett. 10.1 FEASR+EURI+TOP UP'!D16+'Dett. 10.1 FEASR+EURI+TOP UP'!D28+'Dett. 10.1 FEASR+EURI+TOP UP'!D38+'Dett. 10.1 FEASR+EURI+TOP UP'!D50</f>
        <v>5433</v>
      </c>
      <c r="I15" s="386">
        <f>+'Dett. 10.1 FEASR+EURI+TOP UP'!E16+'Dett. 10.1 FEASR+EURI+TOP UP'!E28+'Dett. 10.1 FEASR+EURI+TOP UP'!E38+'Dett. 10.1 FEASR+EURI+TOP UP'!E50</f>
        <v>29125409.57</v>
      </c>
      <c r="J15" s="386">
        <f>+'Dett. 10.1 FEASR+EURI+TOP UP'!F16+'Dett. 10.1 FEASR+EURI+TOP UP'!F28+'Dett. 10.1 FEASR+EURI+TOP UP'!F38+'Dett. 10.1 FEASR+EURI+TOP UP'!F50</f>
        <v>25794624.209999993</v>
      </c>
      <c r="K15" s="386">
        <f>+'Dett. 10.1 FEASR+EURI+TOP UP'!G16+'Dett. 10.1 FEASR+EURI+TOP UP'!G28+'Dett. 10.1 FEASR+EURI+TOP UP'!G38+'Dett. 10.1 FEASR+EURI+TOP UP'!G50</f>
        <v>25601526.00999999</v>
      </c>
      <c r="L15" s="386">
        <f>+'Dett. 10.1 FEASR+EURI+TOP UP'!H16+'Dett. 10.1 FEASR+EURI+TOP UP'!H28+'Dett. 10.1 FEASR+EURI+TOP UP'!H38+'Dett. 10.1 FEASR+EURI+TOP UP'!H50</f>
        <v>25595354.039999992</v>
      </c>
      <c r="M15" s="676">
        <f>+'Dett. 10.1 FEASR+EURI+TOP UP'!I16+'Dett. 10.1 FEASR+EURI+TOP UP'!I28+'Dett. 10.1 FEASR+EURI+TOP UP'!I38+'Dett. 10.1 FEASR+EURI+TOP UP'!I50</f>
        <v>5167</v>
      </c>
      <c r="N15" s="676">
        <f>+'Dett. 10.1 FEASR+EURI+TOP UP'!J16+'Dett. 10.1 FEASR+EURI+TOP UP'!J28+'Dett. 10.1 FEASR+EURI+TOP UP'!J38+'Dett. 10.1 FEASR+EURI+TOP UP'!J50</f>
        <v>110</v>
      </c>
      <c r="O15" s="1061"/>
      <c r="P15" s="1065"/>
      <c r="Q15" s="1061"/>
      <c r="R15" s="1063"/>
      <c r="S15" s="1061"/>
    </row>
    <row r="16" spans="1:19" ht="15" customHeight="1" x14ac:dyDescent="0.2">
      <c r="A16" s="1031"/>
      <c r="B16" s="1067"/>
      <c r="C16" s="1067"/>
      <c r="D16" s="1067"/>
      <c r="E16" s="641">
        <v>2023</v>
      </c>
      <c r="F16" s="1045"/>
      <c r="G16" s="1047"/>
      <c r="H16" s="676">
        <f>+'Dett. 10.1 FEASR+EURI+TOP UP'!D29+'Dett. 10.1 FEASR+EURI+TOP UP'!D39</f>
        <v>290</v>
      </c>
      <c r="I16" s="386">
        <f>+'Dett. 10.1 FEASR+EURI+TOP UP'!E29+'Dett. 10.1 FEASR+EURI+TOP UP'!E39</f>
        <v>2969007.0300000021</v>
      </c>
      <c r="J16" s="386">
        <f>+'Dett. 10.1 FEASR+EURI+TOP UP'!F29+'Dett. 10.1 FEASR+EURI+TOP UP'!F39</f>
        <v>2321895.6000000006</v>
      </c>
      <c r="K16" s="386">
        <f>+'Dett. 10.1 FEASR+EURI+TOP UP'!G29+'Dett. 10.1 FEASR+EURI+TOP UP'!G39</f>
        <v>2188569.3500000006</v>
      </c>
      <c r="L16" s="386">
        <f>+'Dett. 10.1 FEASR+EURI+TOP UP'!H29+'Dett. 10.1 FEASR+EURI+TOP UP'!H39</f>
        <v>2168355.9100000006</v>
      </c>
      <c r="M16" s="676">
        <f>+'Dett. 10.1 FEASR+EURI+TOP UP'!I29+'Dett. 10.1 FEASR+EURI+TOP UP'!I39</f>
        <v>254</v>
      </c>
      <c r="N16" s="676">
        <f>+'Dett. 10.1 FEASR+EURI+TOP UP'!J29+'Dett. 10.1 FEASR+EURI+TOP UP'!J39</f>
        <v>31</v>
      </c>
      <c r="O16" s="1061"/>
      <c r="P16" s="675"/>
      <c r="Q16" s="1061"/>
      <c r="R16" s="1063"/>
      <c r="S16" s="1061"/>
    </row>
    <row r="17" spans="1:19" ht="15" customHeight="1" x14ac:dyDescent="0.2">
      <c r="A17" s="1032"/>
      <c r="B17" s="1068"/>
      <c r="C17" s="1068"/>
      <c r="D17" s="1068"/>
      <c r="E17" s="677">
        <v>2024</v>
      </c>
      <c r="F17" s="658"/>
      <c r="G17" s="659"/>
      <c r="H17" s="676">
        <f>+'Dett. 10.1 FEASR+EURI+TOP UP'!D40</f>
        <v>8</v>
      </c>
      <c r="I17" s="386">
        <f>+'Dett. 10.1 FEASR+EURI+TOP UP'!E40</f>
        <v>29795.88</v>
      </c>
      <c r="J17" s="678">
        <f>+'Dett. 10.1 FEASR+EURI+TOP UP'!F40</f>
        <v>4586.3500000000004</v>
      </c>
      <c r="K17" s="386">
        <f>+'Dett. 10.1 FEASR+EURI+TOP UP'!G40</f>
        <v>25000</v>
      </c>
      <c r="L17" s="386">
        <f>+'Dett. 10.1 FEASR+EURI+TOP UP'!H40</f>
        <v>0</v>
      </c>
      <c r="M17" s="676">
        <f>+'Dett. 10.1 FEASR+EURI+TOP UP'!I40</f>
        <v>0</v>
      </c>
      <c r="N17" s="676">
        <f>+'Dett. 10.1 FEASR+EURI+TOP UP'!J40</f>
        <v>7</v>
      </c>
      <c r="O17" s="1061"/>
      <c r="P17" s="675"/>
      <c r="Q17" s="1061"/>
      <c r="R17" s="1064"/>
      <c r="S17" s="1061"/>
    </row>
    <row r="18" spans="1:19" ht="15" customHeight="1" x14ac:dyDescent="0.2">
      <c r="A18" s="679" t="s">
        <v>803</v>
      </c>
      <c r="B18" s="680">
        <f>+B7</f>
        <v>238037672.48379999</v>
      </c>
      <c r="C18" s="680">
        <f>+C7</f>
        <v>128918484.09</v>
      </c>
      <c r="D18" s="680">
        <f>+D7</f>
        <v>239829274.17077592</v>
      </c>
      <c r="E18" s="681"/>
      <c r="F18" s="664">
        <f>+F7+F8+F9+F10+F11+F12</f>
        <v>18873</v>
      </c>
      <c r="G18" s="680">
        <f>+G7+G8+G9+G10+G11+G12</f>
        <v>83920532.772275597</v>
      </c>
      <c r="H18" s="664">
        <f>SUM(H9:H17)</f>
        <v>37818</v>
      </c>
      <c r="I18" s="682">
        <f t="shared" ref="I18:N18" si="0">SUM(I9:I17)</f>
        <v>196430788.18780023</v>
      </c>
      <c r="J18" s="682">
        <f t="shared" si="0"/>
        <v>158093063.12000027</v>
      </c>
      <c r="K18" s="682">
        <f t="shared" si="0"/>
        <v>155908741.39850032</v>
      </c>
      <c r="L18" s="682">
        <f t="shared" si="0"/>
        <v>155857355.98850033</v>
      </c>
      <c r="M18" s="664">
        <f t="shared" si="0"/>
        <v>33875</v>
      </c>
      <c r="N18" s="664">
        <f t="shared" si="0"/>
        <v>972</v>
      </c>
      <c r="O18" s="683">
        <f>+O7</f>
        <v>237246093.89755946</v>
      </c>
      <c r="P18" s="684">
        <f>+P14+P15</f>
        <v>27526622.859999999</v>
      </c>
      <c r="Q18" s="683">
        <f>+Q7</f>
        <v>83920532.772275597</v>
      </c>
      <c r="R18" s="656">
        <f>+Q18/O18</f>
        <v>0.35372777436964531</v>
      </c>
      <c r="S18" s="683">
        <f>SUM(S7)</f>
        <v>128205407.7684</v>
      </c>
    </row>
    <row r="19" spans="1:19" s="685" customFormat="1" ht="97.5" customHeight="1" x14ac:dyDescent="0.25">
      <c r="A19" s="1058" t="s">
        <v>804</v>
      </c>
      <c r="B19" s="1058"/>
      <c r="C19" s="1058"/>
      <c r="D19" s="1058"/>
      <c r="E19" s="1058"/>
      <c r="F19" s="1058"/>
      <c r="G19" s="1058"/>
      <c r="H19" s="1058"/>
      <c r="I19" s="1058"/>
      <c r="J19" s="1058"/>
      <c r="K19" s="1058"/>
      <c r="L19" s="1058"/>
      <c r="M19" s="1058"/>
      <c r="N19" s="1058"/>
      <c r="O19" s="1058"/>
      <c r="P19" s="1058"/>
      <c r="Q19" s="1058"/>
      <c r="R19" s="1058"/>
      <c r="S19" s="1058"/>
    </row>
    <row r="20" spans="1:19" ht="23.25" customHeight="1" x14ac:dyDescent="0.2">
      <c r="A20" s="1059"/>
      <c r="B20" s="1059"/>
      <c r="C20" s="1059"/>
      <c r="D20" s="1059"/>
      <c r="E20" s="1059"/>
      <c r="F20" s="1059"/>
      <c r="G20" s="1059"/>
      <c r="H20" s="1059"/>
      <c r="I20" s="1059"/>
      <c r="J20" s="1059"/>
      <c r="K20" s="1059"/>
      <c r="L20" s="1059"/>
      <c r="M20" s="1059"/>
      <c r="N20" s="1059"/>
      <c r="O20" s="1059"/>
      <c r="P20" s="1059"/>
      <c r="Q20" s="1059"/>
      <c r="R20" s="1059"/>
      <c r="S20" s="686"/>
    </row>
    <row r="21" spans="1:19" ht="28.5" customHeight="1" x14ac:dyDescent="0.2">
      <c r="A21" s="1026" t="s">
        <v>805</v>
      </c>
      <c r="B21" s="1026"/>
      <c r="C21" s="1026"/>
      <c r="D21" s="1026"/>
      <c r="E21" s="1026"/>
      <c r="F21" s="1026"/>
      <c r="G21" s="1026"/>
      <c r="H21" s="1026"/>
      <c r="I21" s="1026"/>
      <c r="J21" s="1026"/>
      <c r="K21" s="1026"/>
      <c r="L21" s="1026"/>
      <c r="M21" s="1026"/>
      <c r="N21" s="1026"/>
      <c r="O21" s="1026"/>
      <c r="P21" s="1026"/>
      <c r="Q21" s="1026"/>
      <c r="R21" s="1026"/>
      <c r="S21" s="1026"/>
    </row>
    <row r="22" spans="1:19" x14ac:dyDescent="0.2">
      <c r="H22" s="426"/>
      <c r="I22" s="426"/>
      <c r="J22" s="426"/>
      <c r="K22" s="426"/>
      <c r="L22" s="426"/>
      <c r="M22" s="426"/>
      <c r="N22" s="426"/>
      <c r="O22" s="426"/>
      <c r="P22" s="426"/>
      <c r="Q22" s="426"/>
      <c r="R22" s="426"/>
    </row>
    <row r="23" spans="1:19" x14ac:dyDescent="0.2">
      <c r="H23" s="426"/>
      <c r="I23" s="426"/>
      <c r="J23" s="426"/>
      <c r="K23" s="426"/>
      <c r="L23" s="426"/>
      <c r="M23" s="426"/>
      <c r="N23" s="426"/>
    </row>
    <row r="25" spans="1:19" x14ac:dyDescent="0.2">
      <c r="I25" s="426"/>
      <c r="J25" s="426"/>
      <c r="K25" s="426"/>
      <c r="L25" s="426"/>
      <c r="P25" s="426"/>
      <c r="Q25" s="426"/>
    </row>
  </sheetData>
  <mergeCells count="35">
    <mergeCell ref="A19:S19"/>
    <mergeCell ref="A20:R20"/>
    <mergeCell ref="A21:S21"/>
    <mergeCell ref="O7:O17"/>
    <mergeCell ref="Q7:Q17"/>
    <mergeCell ref="R7:R17"/>
    <mergeCell ref="S7:S17"/>
    <mergeCell ref="F13:G16"/>
    <mergeCell ref="P14:P15"/>
    <mergeCell ref="A7:A17"/>
    <mergeCell ref="B7:B17"/>
    <mergeCell ref="C7:C17"/>
    <mergeCell ref="D7:D17"/>
    <mergeCell ref="H7:N8"/>
    <mergeCell ref="L4:L5"/>
    <mergeCell ref="M4:M5"/>
    <mergeCell ref="N4:N5"/>
    <mergeCell ref="O4:R4"/>
    <mergeCell ref="S4:S5"/>
    <mergeCell ref="K4:K5"/>
    <mergeCell ref="A1:R1"/>
    <mergeCell ref="A2:A5"/>
    <mergeCell ref="B2:C3"/>
    <mergeCell ref="D2:D5"/>
    <mergeCell ref="E2:E5"/>
    <mergeCell ref="F2:G3"/>
    <mergeCell ref="H2:N3"/>
    <mergeCell ref="O2:S3"/>
    <mergeCell ref="B4:B5"/>
    <mergeCell ref="C4:C5"/>
    <mergeCell ref="F4:F5"/>
    <mergeCell ref="G4:G5"/>
    <mergeCell ref="H4:H5"/>
    <mergeCell ref="I4:I5"/>
    <mergeCell ref="J4:J5"/>
  </mergeCells>
  <printOptions horizontalCentered="1" verticalCentered="1"/>
  <pageMargins left="0.39370078740157483" right="0.39370078740157483" top="0.39370078740157483" bottom="0.39370078740157483" header="0.31496062992125984" footer="0.31496062992125984"/>
  <pageSetup paperSize="9" scale="5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DA3E2-025B-4BB5-8B82-28CD52963E6C}">
  <dimension ref="A1:T65"/>
  <sheetViews>
    <sheetView zoomScale="110" zoomScaleNormal="110" zoomScaleSheetLayoutView="110" workbookViewId="0">
      <pane xSplit="2" ySplit="5" topLeftCell="C33" activePane="bottomRight" state="frozen"/>
      <selection activeCell="A6" sqref="A6:J39"/>
      <selection pane="topRight" activeCell="A6" sqref="A6:J39"/>
      <selection pane="bottomLeft" activeCell="A6" sqref="A6:J39"/>
      <selection pane="bottomRight" activeCell="A6" sqref="A6:J41"/>
    </sheetView>
  </sheetViews>
  <sheetFormatPr defaultColWidth="29.5703125" defaultRowHeight="15" x14ac:dyDescent="0.25"/>
  <cols>
    <col min="1" max="1" width="19.140625" style="725" customWidth="1"/>
    <col min="2" max="2" width="15.5703125" style="725" customWidth="1"/>
    <col min="3" max="4" width="11.5703125" customWidth="1"/>
    <col min="5" max="6" width="15.140625" customWidth="1"/>
    <col min="7" max="7" width="14.42578125" style="50" customWidth="1"/>
    <col min="8" max="8" width="14.140625" style="50" customWidth="1"/>
    <col min="9" max="9" width="11" customWidth="1"/>
    <col min="10" max="10" width="12.85546875" customWidth="1"/>
    <col min="11" max="12" width="12.28515625" style="726" customWidth="1"/>
    <col min="13" max="13" width="13.85546875" style="726" customWidth="1"/>
    <col min="14" max="14" width="11.85546875" style="726" customWidth="1"/>
    <col min="15" max="15" width="9.140625" style="727" customWidth="1"/>
    <col min="16" max="16" width="17.140625" customWidth="1"/>
  </cols>
  <sheetData>
    <row r="1" spans="1:17" s="5" customFormat="1" ht="15.75" customHeight="1" x14ac:dyDescent="0.25">
      <c r="A1" s="1014" t="s">
        <v>806</v>
      </c>
      <c r="B1" s="1014"/>
      <c r="C1" s="1014"/>
      <c r="D1" s="1014"/>
      <c r="E1" s="1014"/>
      <c r="F1" s="1014"/>
      <c r="G1" s="1014"/>
      <c r="H1" s="1014"/>
      <c r="I1" s="1014"/>
      <c r="J1" s="1014"/>
      <c r="K1" s="1014"/>
      <c r="L1" s="1014"/>
      <c r="M1" s="1014"/>
      <c r="N1" s="1014"/>
      <c r="O1" s="1014"/>
    </row>
    <row r="2" spans="1:17" s="5" customFormat="1" ht="15" customHeight="1" x14ac:dyDescent="0.2">
      <c r="A2" s="782" t="s">
        <v>807</v>
      </c>
      <c r="B2" s="772" t="s">
        <v>808</v>
      </c>
      <c r="C2" s="1020" t="s">
        <v>764</v>
      </c>
      <c r="D2" s="1020" t="s">
        <v>675</v>
      </c>
      <c r="E2" s="1020"/>
      <c r="F2" s="1020"/>
      <c r="G2" s="1020"/>
      <c r="H2" s="1020"/>
      <c r="I2" s="1020"/>
      <c r="J2" s="1020"/>
      <c r="K2" s="1020" t="s">
        <v>786</v>
      </c>
      <c r="L2" s="1020"/>
      <c r="M2" s="1020"/>
      <c r="N2" s="1020"/>
      <c r="O2" s="1020"/>
    </row>
    <row r="3" spans="1:17" s="5" customFormat="1" ht="11.25" x14ac:dyDescent="0.2">
      <c r="A3" s="782"/>
      <c r="B3" s="773"/>
      <c r="C3" s="1020"/>
      <c r="D3" s="1020"/>
      <c r="E3" s="1020"/>
      <c r="F3" s="1020"/>
      <c r="G3" s="1020"/>
      <c r="H3" s="1020"/>
      <c r="I3" s="1020"/>
      <c r="J3" s="1020"/>
      <c r="K3" s="1020"/>
      <c r="L3" s="1020"/>
      <c r="M3" s="1020"/>
      <c r="N3" s="1020"/>
      <c r="O3" s="1020"/>
    </row>
    <row r="4" spans="1:17" s="5" customFormat="1" ht="45" x14ac:dyDescent="0.2">
      <c r="A4" s="782"/>
      <c r="B4" s="774"/>
      <c r="C4" s="1020"/>
      <c r="D4" s="648" t="s">
        <v>809</v>
      </c>
      <c r="E4" s="648" t="s">
        <v>810</v>
      </c>
      <c r="F4" s="648" t="s">
        <v>811</v>
      </c>
      <c r="G4" s="648" t="s">
        <v>812</v>
      </c>
      <c r="H4" s="648" t="s">
        <v>813</v>
      </c>
      <c r="I4" s="648" t="s">
        <v>814</v>
      </c>
      <c r="J4" s="648" t="s">
        <v>815</v>
      </c>
      <c r="K4" s="687" t="s">
        <v>816</v>
      </c>
      <c r="L4" s="687" t="s">
        <v>799</v>
      </c>
      <c r="M4" s="687" t="s">
        <v>817</v>
      </c>
      <c r="N4" s="687" t="s">
        <v>818</v>
      </c>
      <c r="O4" s="688" t="s">
        <v>774</v>
      </c>
    </row>
    <row r="5" spans="1:17" s="5" customFormat="1" ht="11.25" x14ac:dyDescent="0.2">
      <c r="A5" s="689" t="s">
        <v>305</v>
      </c>
      <c r="B5" s="689" t="s">
        <v>306</v>
      </c>
      <c r="C5" s="689" t="s">
        <v>307</v>
      </c>
      <c r="D5" s="690" t="s">
        <v>308</v>
      </c>
      <c r="E5" s="690" t="s">
        <v>309</v>
      </c>
      <c r="F5" s="690" t="s">
        <v>517</v>
      </c>
      <c r="G5" s="689" t="s">
        <v>642</v>
      </c>
      <c r="H5" s="689" t="s">
        <v>310</v>
      </c>
      <c r="I5" s="689" t="s">
        <v>775</v>
      </c>
      <c r="J5" s="691" t="s">
        <v>518</v>
      </c>
      <c r="K5" s="689" t="s">
        <v>753</v>
      </c>
      <c r="L5" s="689" t="s">
        <v>741</v>
      </c>
      <c r="M5" s="691" t="s">
        <v>776</v>
      </c>
      <c r="N5" s="692" t="s">
        <v>755</v>
      </c>
      <c r="O5" s="692" t="s">
        <v>819</v>
      </c>
    </row>
    <row r="6" spans="1:17" s="5" customFormat="1" ht="22.5" x14ac:dyDescent="0.2">
      <c r="A6" s="1077" t="s">
        <v>36</v>
      </c>
      <c r="B6" s="1080"/>
      <c r="C6" s="693" t="s">
        <v>780</v>
      </c>
      <c r="D6" s="1081"/>
      <c r="E6" s="1082"/>
      <c r="F6" s="1082"/>
      <c r="G6" s="1082"/>
      <c r="H6" s="1082"/>
      <c r="I6" s="1082"/>
      <c r="J6" s="1083"/>
      <c r="K6" s="1070">
        <v>183359686.83350399</v>
      </c>
      <c r="L6" s="694"/>
      <c r="M6" s="694"/>
      <c r="N6" s="1070">
        <v>54236895.993331797</v>
      </c>
      <c r="O6" s="1073">
        <f>+N6/K6</f>
        <v>0.29579509503951379</v>
      </c>
    </row>
    <row r="7" spans="1:17" s="5" customFormat="1" ht="11.25" x14ac:dyDescent="0.2">
      <c r="A7" s="1078"/>
      <c r="B7" s="1080"/>
      <c r="C7" s="693">
        <v>2015</v>
      </c>
      <c r="D7" s="1084"/>
      <c r="E7" s="1085"/>
      <c r="F7" s="1085"/>
      <c r="G7" s="1085"/>
      <c r="H7" s="1085"/>
      <c r="I7" s="1085"/>
      <c r="J7" s="1086"/>
      <c r="K7" s="1071"/>
      <c r="L7" s="695"/>
      <c r="M7" s="695"/>
      <c r="N7" s="1071"/>
      <c r="O7" s="1074"/>
      <c r="P7" s="426"/>
    </row>
    <row r="8" spans="1:17" s="5" customFormat="1" ht="11.25" x14ac:dyDescent="0.2">
      <c r="A8" s="1078"/>
      <c r="B8" s="939" t="s">
        <v>820</v>
      </c>
      <c r="C8" s="693">
        <v>2016</v>
      </c>
      <c r="D8" s="696">
        <v>3750</v>
      </c>
      <c r="E8" s="697">
        <v>19303327.281600039</v>
      </c>
      <c r="F8" s="697">
        <v>17176487.440000053</v>
      </c>
      <c r="G8" s="698">
        <v>17562233.810000062</v>
      </c>
      <c r="H8" s="698">
        <v>17562233.810000058</v>
      </c>
      <c r="I8" s="696">
        <v>3553</v>
      </c>
      <c r="J8" s="696">
        <v>24</v>
      </c>
      <c r="K8" s="1071"/>
      <c r="L8" s="695"/>
      <c r="M8" s="695"/>
      <c r="N8" s="1071"/>
      <c r="O8" s="1074"/>
      <c r="P8" s="426"/>
    </row>
    <row r="9" spans="1:17" s="5" customFormat="1" ht="11.25" x14ac:dyDescent="0.2">
      <c r="A9" s="1078"/>
      <c r="B9" s="939"/>
      <c r="C9" s="693">
        <v>2017</v>
      </c>
      <c r="D9" s="696">
        <v>3590</v>
      </c>
      <c r="E9" s="697">
        <v>18887592.003400028</v>
      </c>
      <c r="F9" s="697">
        <v>14259424.430000013</v>
      </c>
      <c r="G9" s="698">
        <v>14239947.180000009</v>
      </c>
      <c r="H9" s="698">
        <v>14239947.180000009</v>
      </c>
      <c r="I9" s="696">
        <v>3349</v>
      </c>
      <c r="J9" s="696">
        <v>91</v>
      </c>
      <c r="K9" s="1071"/>
      <c r="L9" s="695"/>
      <c r="M9" s="695"/>
      <c r="N9" s="1071"/>
      <c r="O9" s="1074"/>
      <c r="P9" s="426"/>
    </row>
    <row r="10" spans="1:17" s="5" customFormat="1" ht="11.25" x14ac:dyDescent="0.2">
      <c r="A10" s="1078"/>
      <c r="B10" s="939"/>
      <c r="C10" s="693">
        <v>2018</v>
      </c>
      <c r="D10" s="696">
        <v>3589</v>
      </c>
      <c r="E10" s="697">
        <v>19144665.431600008</v>
      </c>
      <c r="F10" s="697">
        <v>14284556.520000027</v>
      </c>
      <c r="G10" s="698">
        <v>13930174.990000028</v>
      </c>
      <c r="H10" s="698">
        <v>13930174.990000028</v>
      </c>
      <c r="I10" s="696">
        <v>3252</v>
      </c>
      <c r="J10" s="696">
        <v>137</v>
      </c>
      <c r="K10" s="1071"/>
      <c r="L10" s="695"/>
      <c r="M10" s="695"/>
      <c r="N10" s="1071"/>
      <c r="O10" s="1074"/>
      <c r="P10" s="426"/>
    </row>
    <row r="11" spans="1:17" s="5" customFormat="1" ht="11.25" x14ac:dyDescent="0.2">
      <c r="A11" s="1078"/>
      <c r="B11" s="939"/>
      <c r="C11" s="693">
        <v>2019</v>
      </c>
      <c r="D11" s="696">
        <v>3583</v>
      </c>
      <c r="E11" s="697">
        <v>19185680.329000007</v>
      </c>
      <c r="F11" s="697">
        <v>14572051.420000056</v>
      </c>
      <c r="G11" s="698">
        <v>14261872.100000065</v>
      </c>
      <c r="H11" s="698">
        <v>14261872.100000065</v>
      </c>
      <c r="I11" s="696">
        <v>3327</v>
      </c>
      <c r="J11" s="696">
        <v>104</v>
      </c>
      <c r="K11" s="1071"/>
      <c r="L11" s="695"/>
      <c r="M11" s="695"/>
      <c r="N11" s="1071"/>
      <c r="O11" s="1074"/>
      <c r="P11" s="426"/>
    </row>
    <row r="12" spans="1:17" s="5" customFormat="1" ht="11.25" x14ac:dyDescent="0.2">
      <c r="A12" s="1078"/>
      <c r="B12" s="939"/>
      <c r="C12" s="693">
        <v>2020</v>
      </c>
      <c r="D12" s="696">
        <v>3563</v>
      </c>
      <c r="E12" s="697">
        <v>18833519.715000026</v>
      </c>
      <c r="F12" s="697">
        <v>14342669.450000033</v>
      </c>
      <c r="G12" s="698">
        <v>14355083.268500052</v>
      </c>
      <c r="H12" s="698">
        <v>14355083.268500052</v>
      </c>
      <c r="I12" s="696">
        <v>3307</v>
      </c>
      <c r="J12" s="696">
        <v>122</v>
      </c>
      <c r="K12" s="1071"/>
      <c r="L12" s="695"/>
      <c r="M12" s="695"/>
      <c r="N12" s="1071"/>
      <c r="O12" s="1074"/>
      <c r="P12" s="426"/>
      <c r="Q12" s="426"/>
    </row>
    <row r="13" spans="1:17" s="5" customFormat="1" ht="11.25" x14ac:dyDescent="0.2">
      <c r="A13" s="1078"/>
      <c r="B13" s="939"/>
      <c r="C13" s="693">
        <v>2021</v>
      </c>
      <c r="D13" s="696">
        <v>3433</v>
      </c>
      <c r="E13" s="697">
        <v>17895878.540000036</v>
      </c>
      <c r="F13" s="697">
        <v>14584649.940000059</v>
      </c>
      <c r="G13" s="698">
        <v>14697686.610000065</v>
      </c>
      <c r="H13" s="698">
        <v>14697686.610000065</v>
      </c>
      <c r="I13" s="696">
        <v>3274</v>
      </c>
      <c r="J13" s="696">
        <v>90</v>
      </c>
      <c r="K13" s="1071"/>
      <c r="L13" s="695"/>
      <c r="M13" s="695"/>
      <c r="N13" s="1071"/>
      <c r="O13" s="1074"/>
      <c r="P13" s="426"/>
    </row>
    <row r="14" spans="1:17" s="5" customFormat="1" ht="11.25" x14ac:dyDescent="0.2">
      <c r="A14" s="1078"/>
      <c r="B14" s="939"/>
      <c r="C14" s="699" t="s">
        <v>821</v>
      </c>
      <c r="D14" s="700">
        <f>SUM(D8:D13)</f>
        <v>21508</v>
      </c>
      <c r="E14" s="701">
        <f t="shared" ref="E14:J14" si="0">SUM(E8:E13)</f>
        <v>113250663.30060016</v>
      </c>
      <c r="F14" s="701">
        <f t="shared" si="0"/>
        <v>89219839.200000226</v>
      </c>
      <c r="G14" s="701">
        <f t="shared" si="0"/>
        <v>89046997.958500281</v>
      </c>
      <c r="H14" s="701">
        <f t="shared" si="0"/>
        <v>89046997.958500281</v>
      </c>
      <c r="I14" s="700">
        <f t="shared" si="0"/>
        <v>20062</v>
      </c>
      <c r="J14" s="700">
        <f t="shared" si="0"/>
        <v>568</v>
      </c>
      <c r="K14" s="1071"/>
      <c r="L14" s="695"/>
      <c r="M14" s="695"/>
      <c r="N14" s="1071"/>
      <c r="O14" s="1074"/>
      <c r="P14" s="426"/>
      <c r="Q14" s="426"/>
    </row>
    <row r="15" spans="1:17" s="5" customFormat="1" ht="11.25" x14ac:dyDescent="0.2">
      <c r="A15" s="1078"/>
      <c r="B15" s="939" t="s">
        <v>822</v>
      </c>
      <c r="C15" s="693">
        <v>2021</v>
      </c>
      <c r="D15" s="696">
        <v>4046</v>
      </c>
      <c r="E15" s="697">
        <v>23504307.030000083</v>
      </c>
      <c r="F15" s="697">
        <v>21537181.990000051</v>
      </c>
      <c r="G15" s="698">
        <v>21558067.570000045</v>
      </c>
      <c r="H15" s="698">
        <v>21558067.570000045</v>
      </c>
      <c r="I15" s="696">
        <v>3961</v>
      </c>
      <c r="J15" s="696">
        <v>22</v>
      </c>
      <c r="K15" s="1071"/>
      <c r="L15" s="1076">
        <v>27526622.859999999</v>
      </c>
      <c r="M15" s="695"/>
      <c r="N15" s="1071"/>
      <c r="O15" s="1074"/>
      <c r="P15" s="426"/>
    </row>
    <row r="16" spans="1:17" s="5" customFormat="1" ht="11.25" x14ac:dyDescent="0.2">
      <c r="A16" s="1078"/>
      <c r="B16" s="939"/>
      <c r="C16" s="693">
        <v>2022</v>
      </c>
      <c r="D16" s="696">
        <v>3937</v>
      </c>
      <c r="E16" s="697">
        <v>22819111.030000001</v>
      </c>
      <c r="F16" s="697">
        <v>20527806.59999999</v>
      </c>
      <c r="G16" s="698">
        <v>20495882.019999988</v>
      </c>
      <c r="H16" s="698">
        <v>20495882.019999988</v>
      </c>
      <c r="I16" s="696">
        <v>3867</v>
      </c>
      <c r="J16" s="696">
        <v>39</v>
      </c>
      <c r="K16" s="1071"/>
      <c r="L16" s="1076"/>
      <c r="M16" s="695"/>
      <c r="N16" s="1071"/>
      <c r="O16" s="1074"/>
      <c r="P16" s="426"/>
    </row>
    <row r="17" spans="1:16" s="5" customFormat="1" ht="11.25" x14ac:dyDescent="0.2">
      <c r="A17" s="1078"/>
      <c r="B17" s="939"/>
      <c r="C17" s="699" t="s">
        <v>823</v>
      </c>
      <c r="D17" s="700">
        <f>SUM(D15:D16)</f>
        <v>7983</v>
      </c>
      <c r="E17" s="701">
        <f t="shared" ref="E17:J17" si="1">SUM(E15:E16)</f>
        <v>46323418.060000084</v>
      </c>
      <c r="F17" s="701">
        <f t="shared" si="1"/>
        <v>42064988.590000041</v>
      </c>
      <c r="G17" s="701">
        <f t="shared" si="1"/>
        <v>42053949.590000033</v>
      </c>
      <c r="H17" s="701">
        <f t="shared" si="1"/>
        <v>42053949.590000033</v>
      </c>
      <c r="I17" s="700">
        <f t="shared" si="1"/>
        <v>7828</v>
      </c>
      <c r="J17" s="700">
        <f t="shared" si="1"/>
        <v>61</v>
      </c>
      <c r="K17" s="1072"/>
      <c r="L17" s="702"/>
      <c r="M17" s="702"/>
      <c r="N17" s="1072"/>
      <c r="O17" s="1075"/>
      <c r="P17" s="426"/>
    </row>
    <row r="18" spans="1:16" s="5" customFormat="1" ht="12" x14ac:dyDescent="0.2">
      <c r="A18" s="1079"/>
      <c r="B18" s="1087" t="s">
        <v>824</v>
      </c>
      <c r="C18" s="1088"/>
      <c r="D18" s="703">
        <f>+D14+D17</f>
        <v>29491</v>
      </c>
      <c r="E18" s="704">
        <f>+E17+E14</f>
        <v>159574081.36060023</v>
      </c>
      <c r="F18" s="704">
        <f>+F17+F14</f>
        <v>131284827.79000026</v>
      </c>
      <c r="G18" s="704">
        <f>+G17+G14</f>
        <v>131100947.54850031</v>
      </c>
      <c r="H18" s="704">
        <f>+H17+H14</f>
        <v>131100947.54850031</v>
      </c>
      <c r="I18" s="703">
        <f>+I17+I14</f>
        <v>27890</v>
      </c>
      <c r="J18" s="703">
        <f>+J14+J17</f>
        <v>629</v>
      </c>
      <c r="K18" s="705">
        <f>+K6</f>
        <v>183359686.83350399</v>
      </c>
      <c r="L18" s="705">
        <f>SUM(L15+L16)</f>
        <v>27526622.859999999</v>
      </c>
      <c r="M18" s="705">
        <f>+M6</f>
        <v>0</v>
      </c>
      <c r="N18" s="705">
        <f>+N6</f>
        <v>54236895.993331797</v>
      </c>
      <c r="O18" s="706">
        <f>+O6</f>
        <v>0.29579509503951379</v>
      </c>
      <c r="P18" s="426"/>
    </row>
    <row r="19" spans="1:16" s="5" customFormat="1" ht="22.5" x14ac:dyDescent="0.2">
      <c r="A19" s="1095" t="s">
        <v>37</v>
      </c>
      <c r="B19" s="1098"/>
      <c r="C19" s="641" t="s">
        <v>780</v>
      </c>
      <c r="D19" s="1081"/>
      <c r="E19" s="1082"/>
      <c r="F19" s="1082"/>
      <c r="G19" s="1082"/>
      <c r="H19" s="1082"/>
      <c r="I19" s="1082"/>
      <c r="J19" s="1083"/>
      <c r="K19" s="1070">
        <v>17216848.169263698</v>
      </c>
      <c r="L19" s="694"/>
      <c r="M19" s="694"/>
      <c r="N19" s="1070">
        <v>1690258.0941519972</v>
      </c>
      <c r="O19" s="1073">
        <f>+N19/K19</f>
        <v>9.8174652964038045E-2</v>
      </c>
    </row>
    <row r="20" spans="1:16" s="5" customFormat="1" ht="11.25" x14ac:dyDescent="0.2">
      <c r="A20" s="1096"/>
      <c r="B20" s="1099"/>
      <c r="C20" s="641">
        <v>2015</v>
      </c>
      <c r="D20" s="1084"/>
      <c r="E20" s="1085"/>
      <c r="F20" s="1085"/>
      <c r="G20" s="1085"/>
      <c r="H20" s="1085"/>
      <c r="I20" s="1085"/>
      <c r="J20" s="1086"/>
      <c r="K20" s="1071"/>
      <c r="L20" s="695"/>
      <c r="M20" s="695"/>
      <c r="N20" s="1071"/>
      <c r="O20" s="1074"/>
    </row>
    <row r="21" spans="1:16" s="5" customFormat="1" ht="11.25" x14ac:dyDescent="0.2">
      <c r="A21" s="1096"/>
      <c r="B21" s="939" t="s">
        <v>820</v>
      </c>
      <c r="C21" s="641">
        <v>2016</v>
      </c>
      <c r="D21" s="696">
        <v>624</v>
      </c>
      <c r="E21" s="697">
        <v>3264636.6747000036</v>
      </c>
      <c r="F21" s="697">
        <v>1753417.6800000009</v>
      </c>
      <c r="G21" s="698">
        <v>1761714.8000000012</v>
      </c>
      <c r="H21" s="698">
        <v>1761714.8000000012</v>
      </c>
      <c r="I21" s="696">
        <v>272</v>
      </c>
      <c r="J21" s="696">
        <v>20</v>
      </c>
      <c r="K21" s="1071"/>
      <c r="L21" s="695"/>
      <c r="M21" s="695"/>
      <c r="N21" s="1071"/>
      <c r="O21" s="1074"/>
    </row>
    <row r="22" spans="1:16" s="5" customFormat="1" ht="11.25" x14ac:dyDescent="0.2">
      <c r="A22" s="1096"/>
      <c r="B22" s="939"/>
      <c r="C22" s="641">
        <v>2017</v>
      </c>
      <c r="D22" s="696">
        <v>427</v>
      </c>
      <c r="E22" s="697">
        <v>2713404.8311000024</v>
      </c>
      <c r="F22" s="697">
        <v>1725300.2100000004</v>
      </c>
      <c r="G22" s="698">
        <v>1713232.0400000005</v>
      </c>
      <c r="H22" s="698">
        <v>1713232.0400000005</v>
      </c>
      <c r="I22" s="696">
        <v>256</v>
      </c>
      <c r="J22" s="696">
        <v>27</v>
      </c>
      <c r="K22" s="1071"/>
      <c r="L22" s="695"/>
      <c r="M22" s="695"/>
      <c r="N22" s="1071"/>
      <c r="O22" s="1074"/>
      <c r="P22" s="426"/>
    </row>
    <row r="23" spans="1:16" s="5" customFormat="1" ht="11.25" x14ac:dyDescent="0.2">
      <c r="A23" s="1096"/>
      <c r="B23" s="939"/>
      <c r="C23" s="641">
        <v>2018</v>
      </c>
      <c r="D23" s="696">
        <v>323</v>
      </c>
      <c r="E23" s="697">
        <v>2488226.6615000013</v>
      </c>
      <c r="F23" s="697">
        <v>1651399.5500000003</v>
      </c>
      <c r="G23" s="698">
        <v>1624379.62</v>
      </c>
      <c r="H23" s="698">
        <v>1624379.62</v>
      </c>
      <c r="I23" s="696">
        <v>242</v>
      </c>
      <c r="J23" s="696">
        <v>33</v>
      </c>
      <c r="K23" s="1071"/>
      <c r="L23" s="695"/>
      <c r="M23" s="695"/>
      <c r="N23" s="1071"/>
      <c r="O23" s="1074"/>
    </row>
    <row r="24" spans="1:16" s="5" customFormat="1" ht="11.25" x14ac:dyDescent="0.2">
      <c r="A24" s="1096"/>
      <c r="B24" s="939"/>
      <c r="C24" s="641">
        <v>2019</v>
      </c>
      <c r="D24" s="696">
        <v>304</v>
      </c>
      <c r="E24" s="697">
        <v>2493428.7907000002</v>
      </c>
      <c r="F24" s="697">
        <v>1905992.4500000004</v>
      </c>
      <c r="G24" s="698">
        <v>1823233.4200000004</v>
      </c>
      <c r="H24" s="698">
        <v>1823233.4200000004</v>
      </c>
      <c r="I24" s="696">
        <v>243</v>
      </c>
      <c r="J24" s="696">
        <v>27</v>
      </c>
      <c r="K24" s="1071"/>
      <c r="L24" s="695"/>
      <c r="M24" s="695"/>
      <c r="N24" s="1071"/>
      <c r="O24" s="1074"/>
    </row>
    <row r="25" spans="1:16" s="5" customFormat="1" ht="11.25" x14ac:dyDescent="0.2">
      <c r="A25" s="1096"/>
      <c r="B25" s="939"/>
      <c r="C25" s="641">
        <v>2020</v>
      </c>
      <c r="D25" s="696">
        <v>292</v>
      </c>
      <c r="E25" s="697">
        <v>2374449.2291999985</v>
      </c>
      <c r="F25" s="697">
        <v>1815735.1600000006</v>
      </c>
      <c r="G25" s="698">
        <v>1706939.7100000004</v>
      </c>
      <c r="H25" s="698">
        <v>1706939.7100000004</v>
      </c>
      <c r="I25" s="696">
        <v>235</v>
      </c>
      <c r="J25" s="696">
        <v>33</v>
      </c>
      <c r="K25" s="1071"/>
      <c r="L25" s="695"/>
      <c r="M25" s="695"/>
      <c r="N25" s="1071"/>
      <c r="O25" s="1074"/>
    </row>
    <row r="26" spans="1:16" s="5" customFormat="1" ht="11.25" x14ac:dyDescent="0.2">
      <c r="A26" s="1096"/>
      <c r="B26" s="939"/>
      <c r="C26" s="699" t="s">
        <v>821</v>
      </c>
      <c r="D26" s="700">
        <f t="shared" ref="D26:J26" si="2">SUM(D21:D25)</f>
        <v>1970</v>
      </c>
      <c r="E26" s="701">
        <f t="shared" si="2"/>
        <v>13334146.187200006</v>
      </c>
      <c r="F26" s="701">
        <f t="shared" si="2"/>
        <v>8851845.0500000026</v>
      </c>
      <c r="G26" s="701">
        <f t="shared" si="2"/>
        <v>8629499.5900000036</v>
      </c>
      <c r="H26" s="701">
        <f t="shared" si="2"/>
        <v>8629499.5900000036</v>
      </c>
      <c r="I26" s="700">
        <f t="shared" si="2"/>
        <v>1248</v>
      </c>
      <c r="J26" s="700">
        <f t="shared" si="2"/>
        <v>140</v>
      </c>
      <c r="K26" s="1071"/>
      <c r="L26" s="695"/>
      <c r="M26" s="695"/>
      <c r="N26" s="1071"/>
      <c r="O26" s="1074"/>
    </row>
    <row r="27" spans="1:16" s="5" customFormat="1" ht="11.25" x14ac:dyDescent="0.2">
      <c r="A27" s="1096"/>
      <c r="B27" s="939" t="s">
        <v>822</v>
      </c>
      <c r="C27" s="641">
        <v>2021</v>
      </c>
      <c r="D27" s="696">
        <v>317</v>
      </c>
      <c r="E27" s="697">
        <v>3177928.9700000011</v>
      </c>
      <c r="F27" s="697">
        <v>2747740.7099999995</v>
      </c>
      <c r="G27" s="698">
        <v>2715713.5999999996</v>
      </c>
      <c r="H27" s="698">
        <v>2715713.5999999996</v>
      </c>
      <c r="I27" s="696">
        <v>299</v>
      </c>
      <c r="J27" s="696">
        <v>2</v>
      </c>
      <c r="K27" s="1071"/>
      <c r="L27" s="695"/>
      <c r="M27" s="695"/>
      <c r="N27" s="1071"/>
      <c r="O27" s="1074"/>
      <c r="P27" s="426"/>
    </row>
    <row r="28" spans="1:16" s="5" customFormat="1" ht="11.25" x14ac:dyDescent="0.2">
      <c r="A28" s="1096"/>
      <c r="B28" s="939"/>
      <c r="C28" s="641">
        <v>2022</v>
      </c>
      <c r="D28" s="696">
        <v>291</v>
      </c>
      <c r="E28" s="697">
        <v>3031067.5399999982</v>
      </c>
      <c r="F28" s="697">
        <v>2570130.8900000015</v>
      </c>
      <c r="G28" s="698">
        <v>2487961.2800000017</v>
      </c>
      <c r="H28" s="698">
        <v>2487961.2800000017</v>
      </c>
      <c r="I28" s="696">
        <v>271</v>
      </c>
      <c r="J28" s="696">
        <v>12</v>
      </c>
      <c r="K28" s="1071"/>
      <c r="L28" s="695"/>
      <c r="M28" s="695"/>
      <c r="N28" s="1071"/>
      <c r="O28" s="1074"/>
    </row>
    <row r="29" spans="1:16" s="5" customFormat="1" ht="11.25" x14ac:dyDescent="0.2">
      <c r="A29" s="1096"/>
      <c r="B29" s="939"/>
      <c r="C29" s="641">
        <v>2023</v>
      </c>
      <c r="D29" s="696">
        <v>279</v>
      </c>
      <c r="E29" s="697">
        <v>2939076.8000000021</v>
      </c>
      <c r="F29" s="697">
        <v>2305312.2200000007</v>
      </c>
      <c r="G29" s="698">
        <v>2163569.3500000006</v>
      </c>
      <c r="H29" s="698">
        <v>2163569.3500000006</v>
      </c>
      <c r="I29" s="696">
        <v>252</v>
      </c>
      <c r="J29" s="696">
        <v>25</v>
      </c>
      <c r="K29" s="1071"/>
      <c r="L29" s="695"/>
      <c r="M29" s="695"/>
      <c r="N29" s="1071"/>
      <c r="O29" s="1074"/>
    </row>
    <row r="30" spans="1:16" s="5" customFormat="1" ht="11.25" x14ac:dyDescent="0.2">
      <c r="A30" s="1096"/>
      <c r="B30" s="939"/>
      <c r="C30" s="699" t="s">
        <v>823</v>
      </c>
      <c r="D30" s="700">
        <f>+D27+D28+D29</f>
        <v>887</v>
      </c>
      <c r="E30" s="701">
        <f t="shared" ref="E30:J30" si="3">+E27+E28+E29</f>
        <v>9148073.3100000024</v>
      </c>
      <c r="F30" s="701">
        <f t="shared" si="3"/>
        <v>7623183.8200000022</v>
      </c>
      <c r="G30" s="701">
        <f t="shared" si="3"/>
        <v>7367244.2300000014</v>
      </c>
      <c r="H30" s="701">
        <f t="shared" si="3"/>
        <v>7367244.2300000014</v>
      </c>
      <c r="I30" s="700">
        <f>+I27+I28+I29</f>
        <v>822</v>
      </c>
      <c r="J30" s="700">
        <f t="shared" si="3"/>
        <v>39</v>
      </c>
      <c r="K30" s="1072"/>
      <c r="L30" s="702"/>
      <c r="M30" s="702"/>
      <c r="N30" s="1072"/>
      <c r="O30" s="1075"/>
    </row>
    <row r="31" spans="1:16" s="5" customFormat="1" ht="12" x14ac:dyDescent="0.2">
      <c r="A31" s="1097"/>
      <c r="B31" s="1087" t="s">
        <v>825</v>
      </c>
      <c r="C31" s="1088"/>
      <c r="D31" s="703">
        <f>+D30+D26</f>
        <v>2857</v>
      </c>
      <c r="E31" s="704">
        <f t="shared" ref="E31:J31" si="4">+E30+E26</f>
        <v>22482219.497200008</v>
      </c>
      <c r="F31" s="704">
        <f>+F30+F26</f>
        <v>16475028.870000005</v>
      </c>
      <c r="G31" s="704">
        <f t="shared" si="4"/>
        <v>15996743.820000004</v>
      </c>
      <c r="H31" s="704">
        <f t="shared" si="4"/>
        <v>15996743.820000004</v>
      </c>
      <c r="I31" s="703">
        <f t="shared" si="4"/>
        <v>2070</v>
      </c>
      <c r="J31" s="703">
        <f t="shared" si="4"/>
        <v>179</v>
      </c>
      <c r="K31" s="705">
        <f>+K19</f>
        <v>17216848.169263698</v>
      </c>
      <c r="L31" s="705">
        <f>+L19</f>
        <v>0</v>
      </c>
      <c r="M31" s="705">
        <f>+M19</f>
        <v>0</v>
      </c>
      <c r="N31" s="705">
        <f>+N19</f>
        <v>1690258.0941519972</v>
      </c>
      <c r="O31" s="706">
        <f>+O19</f>
        <v>9.8174652964038045E-2</v>
      </c>
    </row>
    <row r="32" spans="1:16" s="5" customFormat="1" ht="22.5" x14ac:dyDescent="0.2">
      <c r="A32" s="1077" t="s">
        <v>826</v>
      </c>
      <c r="B32" s="1098"/>
      <c r="C32" s="641" t="s">
        <v>780</v>
      </c>
      <c r="D32" s="1081"/>
      <c r="E32" s="1082"/>
      <c r="F32" s="1082"/>
      <c r="G32" s="1082"/>
      <c r="H32" s="1082"/>
      <c r="I32" s="1082"/>
      <c r="J32" s="1083"/>
      <c r="K32" s="1070">
        <v>15755316.304791801</v>
      </c>
      <c r="L32" s="694"/>
      <c r="M32" s="694"/>
      <c r="N32" s="1070">
        <v>15755316.304791801</v>
      </c>
      <c r="O32" s="1073">
        <f>+N32/K32</f>
        <v>1</v>
      </c>
    </row>
    <row r="33" spans="1:17" s="5" customFormat="1" ht="11.25" x14ac:dyDescent="0.2">
      <c r="A33" s="1078"/>
      <c r="B33" s="1099"/>
      <c r="C33" s="641">
        <v>2015</v>
      </c>
      <c r="D33" s="1101"/>
      <c r="E33" s="1102"/>
      <c r="F33" s="1102"/>
      <c r="G33" s="1102"/>
      <c r="H33" s="1102"/>
      <c r="I33" s="1102"/>
      <c r="J33" s="1103"/>
      <c r="K33" s="1071"/>
      <c r="L33" s="695"/>
      <c r="M33" s="695"/>
      <c r="N33" s="1071"/>
      <c r="O33" s="1074"/>
      <c r="P33" s="426"/>
    </row>
    <row r="34" spans="1:17" s="5" customFormat="1" ht="11.25" x14ac:dyDescent="0.2">
      <c r="A34" s="1078"/>
      <c r="B34" s="1099"/>
      <c r="C34" s="641">
        <v>2016</v>
      </c>
      <c r="D34" s="1101"/>
      <c r="E34" s="1102"/>
      <c r="F34" s="1102"/>
      <c r="G34" s="1102"/>
      <c r="H34" s="1102"/>
      <c r="I34" s="1102"/>
      <c r="J34" s="1103"/>
      <c r="K34" s="1071"/>
      <c r="L34" s="695"/>
      <c r="M34" s="695"/>
      <c r="N34" s="1071"/>
      <c r="O34" s="1074"/>
    </row>
    <row r="35" spans="1:17" s="5" customFormat="1" ht="11.25" x14ac:dyDescent="0.2">
      <c r="A35" s="1078"/>
      <c r="B35" s="1099"/>
      <c r="C35" s="641">
        <v>2017</v>
      </c>
      <c r="D35" s="1101"/>
      <c r="E35" s="1102"/>
      <c r="F35" s="1102"/>
      <c r="G35" s="1102"/>
      <c r="H35" s="1102"/>
      <c r="I35" s="1102"/>
      <c r="J35" s="1103"/>
      <c r="K35" s="1071"/>
      <c r="L35" s="695"/>
      <c r="M35" s="695"/>
      <c r="N35" s="1071"/>
      <c r="O35" s="1074"/>
    </row>
    <row r="36" spans="1:17" s="5" customFormat="1" ht="11.25" x14ac:dyDescent="0.2">
      <c r="A36" s="1078"/>
      <c r="B36" s="1100"/>
      <c r="C36" s="641">
        <v>2018</v>
      </c>
      <c r="D36" s="1101"/>
      <c r="E36" s="1102"/>
      <c r="F36" s="1102"/>
      <c r="G36" s="1102"/>
      <c r="H36" s="1102"/>
      <c r="I36" s="1102"/>
      <c r="J36" s="1103"/>
      <c r="K36" s="1071"/>
      <c r="L36" s="695"/>
      <c r="M36" s="695"/>
      <c r="N36" s="1071"/>
      <c r="O36" s="1074"/>
    </row>
    <row r="37" spans="1:17" s="5" customFormat="1" ht="11.25" x14ac:dyDescent="0.2">
      <c r="A37" s="1079"/>
      <c r="B37" s="1089" t="s">
        <v>827</v>
      </c>
      <c r="C37" s="1090"/>
      <c r="D37" s="1091"/>
      <c r="E37" s="1092"/>
      <c r="F37" s="1092"/>
      <c r="G37" s="1092"/>
      <c r="H37" s="1092"/>
      <c r="I37" s="1093"/>
      <c r="J37" s="1094"/>
      <c r="K37" s="707">
        <f>+K32</f>
        <v>15755316.304791801</v>
      </c>
      <c r="L37" s="707">
        <f>+L32</f>
        <v>0</v>
      </c>
      <c r="M37" s="707">
        <f>+M32</f>
        <v>0</v>
      </c>
      <c r="N37" s="707">
        <f>+N32</f>
        <v>15755316.304791801</v>
      </c>
      <c r="O37" s="708">
        <f>+N37/K37</f>
        <v>1</v>
      </c>
    </row>
    <row r="38" spans="1:17" s="5" customFormat="1" ht="11.25" customHeight="1" x14ac:dyDescent="0.2">
      <c r="A38" s="1104" t="s">
        <v>828</v>
      </c>
      <c r="B38" s="1077" t="s">
        <v>829</v>
      </c>
      <c r="C38" s="495">
        <v>2022</v>
      </c>
      <c r="D38" s="696">
        <v>15</v>
      </c>
      <c r="E38" s="697">
        <v>42726</v>
      </c>
      <c r="F38" s="697">
        <v>25668.07</v>
      </c>
      <c r="G38" s="698">
        <v>25000</v>
      </c>
      <c r="H38" s="698">
        <v>18828.03</v>
      </c>
      <c r="I38" s="709">
        <v>10</v>
      </c>
      <c r="J38" s="709">
        <v>3</v>
      </c>
      <c r="K38" s="1107">
        <v>23614.51</v>
      </c>
      <c r="L38" s="710"/>
      <c r="M38" s="710"/>
      <c r="N38" s="1107">
        <v>0</v>
      </c>
      <c r="O38" s="1073">
        <v>0</v>
      </c>
    </row>
    <row r="39" spans="1:17" s="5" customFormat="1" ht="11.25" x14ac:dyDescent="0.2">
      <c r="A39" s="1105"/>
      <c r="B39" s="1078"/>
      <c r="C39" s="495">
        <v>2023</v>
      </c>
      <c r="D39" s="696">
        <v>11</v>
      </c>
      <c r="E39" s="697">
        <v>29930.23</v>
      </c>
      <c r="F39" s="697">
        <v>16583.379999999997</v>
      </c>
      <c r="G39" s="698">
        <v>25000</v>
      </c>
      <c r="H39" s="698">
        <v>4786.5599999999995</v>
      </c>
      <c r="I39" s="709">
        <v>2</v>
      </c>
      <c r="J39" s="709">
        <v>6</v>
      </c>
      <c r="K39" s="1108"/>
      <c r="L39" s="711"/>
      <c r="M39" s="711"/>
      <c r="N39" s="1108"/>
      <c r="O39" s="1074"/>
    </row>
    <row r="40" spans="1:17" s="5" customFormat="1" ht="11.25" x14ac:dyDescent="0.2">
      <c r="A40" s="1105"/>
      <c r="B40" s="1079"/>
      <c r="C40" s="495">
        <v>2024</v>
      </c>
      <c r="D40" s="696">
        <v>8</v>
      </c>
      <c r="E40" s="697">
        <v>29795.88</v>
      </c>
      <c r="F40" s="697">
        <v>4586.3500000000004</v>
      </c>
      <c r="G40" s="698">
        <v>25000</v>
      </c>
      <c r="H40" s="698">
        <v>0</v>
      </c>
      <c r="I40" s="709"/>
      <c r="J40" s="709">
        <v>7</v>
      </c>
      <c r="K40" s="1109"/>
      <c r="L40" s="712"/>
      <c r="M40" s="712"/>
      <c r="N40" s="1109"/>
      <c r="O40" s="1075"/>
    </row>
    <row r="41" spans="1:17" s="5" customFormat="1" ht="12" x14ac:dyDescent="0.2">
      <c r="A41" s="1106"/>
      <c r="B41" s="1087" t="s">
        <v>830</v>
      </c>
      <c r="C41" s="1088"/>
      <c r="D41" s="703">
        <f>+D38+D39+D40</f>
        <v>34</v>
      </c>
      <c r="E41" s="704">
        <f t="shared" ref="E41:J41" si="5">+E38+E39+E40</f>
        <v>102452.11</v>
      </c>
      <c r="F41" s="704">
        <f t="shared" si="5"/>
        <v>46837.799999999996</v>
      </c>
      <c r="G41" s="704">
        <f t="shared" si="5"/>
        <v>75000</v>
      </c>
      <c r="H41" s="704">
        <f t="shared" si="5"/>
        <v>23614.589999999997</v>
      </c>
      <c r="I41" s="703">
        <f t="shared" si="5"/>
        <v>12</v>
      </c>
      <c r="J41" s="703">
        <f t="shared" si="5"/>
        <v>16</v>
      </c>
      <c r="K41" s="705">
        <f>+K38</f>
        <v>23614.51</v>
      </c>
      <c r="L41" s="705">
        <f>+L38</f>
        <v>0</v>
      </c>
      <c r="M41" s="705">
        <f>+M38</f>
        <v>0</v>
      </c>
      <c r="N41" s="705">
        <f>+N38</f>
        <v>0</v>
      </c>
      <c r="O41" s="706">
        <v>0</v>
      </c>
      <c r="Q41" s="426"/>
    </row>
    <row r="42" spans="1:17" s="5" customFormat="1" ht="22.5" customHeight="1" x14ac:dyDescent="0.2">
      <c r="A42" s="1104" t="s">
        <v>831</v>
      </c>
      <c r="B42" s="1080"/>
      <c r="C42" s="713" t="s">
        <v>780</v>
      </c>
      <c r="D42" s="1081"/>
      <c r="E42" s="1082"/>
      <c r="F42" s="1082"/>
      <c r="G42" s="1082"/>
      <c r="H42" s="1082"/>
      <c r="I42" s="1082"/>
      <c r="J42" s="1083"/>
      <c r="K42" s="1070">
        <v>20890628.079999998</v>
      </c>
      <c r="L42" s="694"/>
      <c r="M42" s="694"/>
      <c r="N42" s="1070">
        <v>12238062.380000001</v>
      </c>
      <c r="O42" s="1073">
        <f>+N42/K42</f>
        <v>0.58581591386983334</v>
      </c>
    </row>
    <row r="43" spans="1:17" s="5" customFormat="1" ht="11.25" x14ac:dyDescent="0.2">
      <c r="A43" s="1105"/>
      <c r="B43" s="1080"/>
      <c r="C43" s="713">
        <v>2015</v>
      </c>
      <c r="D43" s="1101"/>
      <c r="E43" s="1102"/>
      <c r="F43" s="1102"/>
      <c r="G43" s="1102"/>
      <c r="H43" s="1102"/>
      <c r="I43" s="1102"/>
      <c r="J43" s="1103"/>
      <c r="K43" s="1071"/>
      <c r="L43" s="695"/>
      <c r="M43" s="695"/>
      <c r="N43" s="1071"/>
      <c r="O43" s="1074"/>
    </row>
    <row r="44" spans="1:17" s="5" customFormat="1" ht="11.25" x14ac:dyDescent="0.2">
      <c r="A44" s="1105"/>
      <c r="B44" s="1080"/>
      <c r="C44" s="713">
        <v>2016</v>
      </c>
      <c r="D44" s="1101"/>
      <c r="E44" s="1102"/>
      <c r="F44" s="1102"/>
      <c r="G44" s="1102"/>
      <c r="H44" s="1102"/>
      <c r="I44" s="1102"/>
      <c r="J44" s="1103"/>
      <c r="K44" s="1071"/>
      <c r="L44" s="695"/>
      <c r="M44" s="695"/>
      <c r="N44" s="1071"/>
      <c r="O44" s="1074"/>
    </row>
    <row r="45" spans="1:17" s="5" customFormat="1" ht="11.25" x14ac:dyDescent="0.2">
      <c r="A45" s="1105"/>
      <c r="B45" s="1080"/>
      <c r="C45" s="713">
        <v>2017</v>
      </c>
      <c r="D45" s="1101"/>
      <c r="E45" s="1102"/>
      <c r="F45" s="1102"/>
      <c r="G45" s="1102"/>
      <c r="H45" s="1102"/>
      <c r="I45" s="1102"/>
      <c r="J45" s="1103"/>
      <c r="K45" s="1071"/>
      <c r="L45" s="695"/>
      <c r="M45" s="695"/>
      <c r="N45" s="1071"/>
      <c r="O45" s="1074"/>
    </row>
    <row r="46" spans="1:17" s="5" customFormat="1" ht="11.25" x14ac:dyDescent="0.2">
      <c r="A46" s="1105"/>
      <c r="B46" s="1080"/>
      <c r="C46" s="713">
        <v>2018</v>
      </c>
      <c r="D46" s="1101"/>
      <c r="E46" s="1102"/>
      <c r="F46" s="1102"/>
      <c r="G46" s="1102"/>
      <c r="H46" s="1102"/>
      <c r="I46" s="1102"/>
      <c r="J46" s="1103"/>
      <c r="K46" s="1071"/>
      <c r="L46" s="695"/>
      <c r="M46" s="695"/>
      <c r="N46" s="1071"/>
      <c r="O46" s="1074"/>
    </row>
    <row r="47" spans="1:17" s="5" customFormat="1" ht="11.25" x14ac:dyDescent="0.2">
      <c r="A47" s="1105"/>
      <c r="B47" s="1080"/>
      <c r="C47" s="713">
        <v>2019</v>
      </c>
      <c r="D47" s="1084"/>
      <c r="E47" s="1085"/>
      <c r="F47" s="1085"/>
      <c r="G47" s="1085"/>
      <c r="H47" s="1085"/>
      <c r="I47" s="1085"/>
      <c r="J47" s="1086"/>
      <c r="K47" s="1071"/>
      <c r="L47" s="695"/>
      <c r="M47" s="695"/>
      <c r="N47" s="1071"/>
      <c r="O47" s="1074"/>
    </row>
    <row r="48" spans="1:17" s="5" customFormat="1" ht="11.25" x14ac:dyDescent="0.2">
      <c r="A48" s="1105"/>
      <c r="B48" s="1078" t="s">
        <v>832</v>
      </c>
      <c r="C48" s="713">
        <v>2020</v>
      </c>
      <c r="D48" s="696">
        <v>2175</v>
      </c>
      <c r="E48" s="697">
        <v>5727116.0599999977</v>
      </c>
      <c r="F48" s="697">
        <v>3058678.1900000009</v>
      </c>
      <c r="G48" s="698">
        <v>2890348.98</v>
      </c>
      <c r="H48" s="698">
        <v>2890348.98</v>
      </c>
      <c r="I48" s="714">
        <v>1603</v>
      </c>
      <c r="J48" s="715">
        <v>57</v>
      </c>
      <c r="K48" s="1071"/>
      <c r="L48" s="695"/>
      <c r="M48" s="695"/>
      <c r="N48" s="1071"/>
      <c r="O48" s="1074"/>
    </row>
    <row r="49" spans="1:20" s="5" customFormat="1" ht="11.25" x14ac:dyDescent="0.2">
      <c r="A49" s="1105"/>
      <c r="B49" s="1078"/>
      <c r="C49" s="641">
        <v>2021</v>
      </c>
      <c r="D49" s="696">
        <v>2071</v>
      </c>
      <c r="E49" s="697">
        <v>5312414.1599999955</v>
      </c>
      <c r="F49" s="697">
        <v>4556671.8199999994</v>
      </c>
      <c r="G49" s="698">
        <v>3253018.3400000008</v>
      </c>
      <c r="H49" s="698">
        <v>3253018.3400000008</v>
      </c>
      <c r="I49" s="696">
        <v>1281</v>
      </c>
      <c r="J49" s="715">
        <v>35</v>
      </c>
      <c r="K49" s="1071"/>
      <c r="L49" s="695"/>
      <c r="M49" s="695"/>
      <c r="N49" s="1071"/>
      <c r="O49" s="1074"/>
    </row>
    <row r="50" spans="1:20" s="5" customFormat="1" ht="11.25" x14ac:dyDescent="0.2">
      <c r="A50" s="1105"/>
      <c r="B50" s="1078"/>
      <c r="C50" s="641">
        <v>2022</v>
      </c>
      <c r="D50" s="696">
        <v>1190</v>
      </c>
      <c r="E50" s="697">
        <v>3232504.9999999991</v>
      </c>
      <c r="F50" s="697">
        <v>2671018.6500000008</v>
      </c>
      <c r="G50" s="698">
        <v>2592682.7100000004</v>
      </c>
      <c r="H50" s="698">
        <v>2592682.7100000004</v>
      </c>
      <c r="I50" s="696">
        <v>1019</v>
      </c>
      <c r="J50" s="696">
        <v>56</v>
      </c>
      <c r="K50" s="1071"/>
      <c r="L50" s="695"/>
      <c r="M50" s="695"/>
      <c r="N50" s="1071"/>
      <c r="O50" s="1074"/>
    </row>
    <row r="51" spans="1:20" s="5" customFormat="1" ht="13.5" customHeight="1" x14ac:dyDescent="0.2">
      <c r="A51" s="1106"/>
      <c r="B51" s="1087" t="s">
        <v>833</v>
      </c>
      <c r="C51" s="1088"/>
      <c r="D51" s="703">
        <f t="shared" ref="D51:J51" si="6">SUM(D48:D50)</f>
        <v>5436</v>
      </c>
      <c r="E51" s="704">
        <f t="shared" si="6"/>
        <v>14272035.219999991</v>
      </c>
      <c r="F51" s="704">
        <f t="shared" si="6"/>
        <v>10286368.66</v>
      </c>
      <c r="G51" s="704">
        <f t="shared" si="6"/>
        <v>8736050.0300000012</v>
      </c>
      <c r="H51" s="704">
        <f t="shared" si="6"/>
        <v>8736050.0300000012</v>
      </c>
      <c r="I51" s="703">
        <f t="shared" si="6"/>
        <v>3903</v>
      </c>
      <c r="J51" s="703">
        <f t="shared" si="6"/>
        <v>148</v>
      </c>
      <c r="K51" s="705">
        <f>+K42</f>
        <v>20890628.079999998</v>
      </c>
      <c r="L51" s="705">
        <f>+L42</f>
        <v>0</v>
      </c>
      <c r="M51" s="705">
        <f>+M42</f>
        <v>0</v>
      </c>
      <c r="N51" s="705">
        <f>+N42</f>
        <v>12238062.380000001</v>
      </c>
      <c r="O51" s="706">
        <f>+N51/K51</f>
        <v>0.58581591386983334</v>
      </c>
    </row>
    <row r="52" spans="1:20" s="5" customFormat="1" ht="11.25" customHeight="1" x14ac:dyDescent="0.2">
      <c r="A52" s="1104" t="s">
        <v>834</v>
      </c>
      <c r="B52" s="1077" t="s">
        <v>829</v>
      </c>
      <c r="C52" s="713">
        <v>2022</v>
      </c>
      <c r="D52" s="696">
        <v>1227</v>
      </c>
      <c r="E52" s="697">
        <v>3838133.4000000013</v>
      </c>
      <c r="F52" s="697">
        <v>3111496.2499999995</v>
      </c>
      <c r="G52" s="698">
        <v>3333333.3333333302</v>
      </c>
      <c r="H52" s="716">
        <v>3112790.63</v>
      </c>
      <c r="I52" s="696">
        <v>1122</v>
      </c>
      <c r="J52" s="713">
        <v>37</v>
      </c>
      <c r="K52" s="1107">
        <v>6974696.0999999996</v>
      </c>
      <c r="L52" s="710"/>
      <c r="M52" s="1107">
        <f>+K52</f>
        <v>6974696.0999999996</v>
      </c>
      <c r="N52" s="1107">
        <v>0</v>
      </c>
      <c r="O52" s="1073">
        <f>+N52/K52</f>
        <v>0</v>
      </c>
    </row>
    <row r="53" spans="1:20" s="5" customFormat="1" ht="11.25" x14ac:dyDescent="0.2">
      <c r="A53" s="1105"/>
      <c r="B53" s="1078"/>
      <c r="C53" s="713" t="s">
        <v>835</v>
      </c>
      <c r="D53" s="696">
        <v>1157</v>
      </c>
      <c r="E53" s="697">
        <v>3395780.5000000014</v>
      </c>
      <c r="F53" s="697">
        <v>2658562.4000000004</v>
      </c>
      <c r="G53" s="698">
        <v>3333333.3333333302</v>
      </c>
      <c r="H53" s="716">
        <v>2485635.5700000003</v>
      </c>
      <c r="I53" s="713">
        <v>862</v>
      </c>
      <c r="J53" s="696">
        <v>195</v>
      </c>
      <c r="K53" s="1108"/>
      <c r="L53" s="711"/>
      <c r="M53" s="1108"/>
      <c r="N53" s="1108"/>
      <c r="O53" s="1074" t="e">
        <f t="shared" ref="O53:O54" si="7">+N53/K53</f>
        <v>#DIV/0!</v>
      </c>
    </row>
    <row r="54" spans="1:20" s="5" customFormat="1" ht="12" customHeight="1" x14ac:dyDescent="0.2">
      <c r="A54" s="1105"/>
      <c r="B54" s="1079"/>
      <c r="C54" s="641">
        <v>2024</v>
      </c>
      <c r="D54" s="696">
        <v>1072</v>
      </c>
      <c r="E54" s="697">
        <v>2092517.9</v>
      </c>
      <c r="F54" s="697">
        <v>1604722.2999999998</v>
      </c>
      <c r="G54" s="698">
        <v>3333333.3333333302</v>
      </c>
      <c r="H54" s="698">
        <v>1358158.5999999999</v>
      </c>
      <c r="I54" s="696">
        <v>462</v>
      </c>
      <c r="J54" s="696">
        <v>572</v>
      </c>
      <c r="K54" s="1109"/>
      <c r="L54" s="712"/>
      <c r="M54" s="1109"/>
      <c r="N54" s="1109"/>
      <c r="O54" s="1075" t="e">
        <f t="shared" si="7"/>
        <v>#DIV/0!</v>
      </c>
    </row>
    <row r="55" spans="1:20" s="5" customFormat="1" ht="11.25" customHeight="1" x14ac:dyDescent="0.2">
      <c r="A55" s="1106"/>
      <c r="B55" s="1087" t="s">
        <v>836</v>
      </c>
      <c r="C55" s="1088"/>
      <c r="D55" s="703">
        <f>+D52+D53+D54</f>
        <v>3456</v>
      </c>
      <c r="E55" s="704">
        <f t="shared" ref="E55:J55" si="8">+E52+E53+E54</f>
        <v>9326431.8000000026</v>
      </c>
      <c r="F55" s="704">
        <f t="shared" si="8"/>
        <v>7374780.9500000002</v>
      </c>
      <c r="G55" s="704">
        <f t="shared" si="8"/>
        <v>9999999.9999999907</v>
      </c>
      <c r="H55" s="704">
        <f t="shared" si="8"/>
        <v>6956584.7999999998</v>
      </c>
      <c r="I55" s="703">
        <f t="shared" si="8"/>
        <v>2446</v>
      </c>
      <c r="J55" s="703">
        <f t="shared" si="8"/>
        <v>804</v>
      </c>
      <c r="K55" s="705">
        <f>+K52</f>
        <v>6974696.0999999996</v>
      </c>
      <c r="L55" s="705">
        <f>+L52</f>
        <v>0</v>
      </c>
      <c r="M55" s="705">
        <f>+M52</f>
        <v>6974696.0999999996</v>
      </c>
      <c r="N55" s="705">
        <f>+N52</f>
        <v>0</v>
      </c>
      <c r="O55" s="706">
        <f>+O52</f>
        <v>0</v>
      </c>
    </row>
    <row r="56" spans="1:20" s="5" customFormat="1" ht="15.75" customHeight="1" x14ac:dyDescent="0.2">
      <c r="A56" s="1110" t="s">
        <v>837</v>
      </c>
      <c r="B56" s="1111"/>
      <c r="C56" s="1112"/>
      <c r="D56" s="717">
        <f>+D55+D51+D41+D37+D31+D18</f>
        <v>41274</v>
      </c>
      <c r="E56" s="718">
        <f t="shared" ref="E56:J56" si="9">+E55+E51+E41+E37+E31+E18</f>
        <v>205757219.98780024</v>
      </c>
      <c r="F56" s="718">
        <f t="shared" si="9"/>
        <v>165467844.07000026</v>
      </c>
      <c r="G56" s="718">
        <f t="shared" si="9"/>
        <v>165908741.39850032</v>
      </c>
      <c r="H56" s="718">
        <f t="shared" si="9"/>
        <v>162813940.78850031</v>
      </c>
      <c r="I56" s="717">
        <f t="shared" si="9"/>
        <v>36321</v>
      </c>
      <c r="J56" s="717">
        <f t="shared" si="9"/>
        <v>1776</v>
      </c>
      <c r="K56" s="719">
        <f>+K55+K51+K41+K37+K31+K18</f>
        <v>244220789.99755949</v>
      </c>
      <c r="L56" s="719">
        <f t="shared" ref="L56:N56" si="10">+L55+L51+L41+L37+L31+L18</f>
        <v>27526622.859999999</v>
      </c>
      <c r="M56" s="719">
        <f t="shared" si="10"/>
        <v>6974696.0999999996</v>
      </c>
      <c r="N56" s="719">
        <f t="shared" si="10"/>
        <v>83920532.772275597</v>
      </c>
      <c r="O56" s="720">
        <f>+N56/K56</f>
        <v>0.3436256707429135</v>
      </c>
    </row>
    <row r="57" spans="1:20" s="685" customFormat="1" ht="103.5" customHeight="1" x14ac:dyDescent="0.25">
      <c r="A57" s="1113" t="s">
        <v>838</v>
      </c>
      <c r="B57" s="1113"/>
      <c r="C57" s="1113"/>
      <c r="D57" s="1113"/>
      <c r="E57" s="1113"/>
      <c r="F57" s="1113"/>
      <c r="G57" s="1113"/>
      <c r="H57" s="1113"/>
      <c r="I57" s="1113"/>
      <c r="J57" s="1113"/>
      <c r="K57" s="1113"/>
      <c r="L57" s="1113"/>
      <c r="M57" s="1113"/>
      <c r="N57" s="1113"/>
      <c r="O57" s="1113"/>
      <c r="P57" s="721"/>
      <c r="Q57" s="721"/>
      <c r="R57" s="721"/>
      <c r="S57" s="721"/>
    </row>
    <row r="58" spans="1:20" s="5" customFormat="1" ht="11.25" x14ac:dyDescent="0.2">
      <c r="C58" s="668"/>
      <c r="D58" s="668"/>
      <c r="E58" s="668"/>
      <c r="F58" s="668"/>
      <c r="J58" s="426"/>
      <c r="K58" s="668"/>
      <c r="L58" s="668"/>
      <c r="M58" s="668"/>
      <c r="N58" s="668"/>
      <c r="O58" s="722"/>
    </row>
    <row r="59" spans="1:20" s="5" customFormat="1" ht="39" customHeight="1" x14ac:dyDescent="0.2">
      <c r="A59" s="1026" t="s">
        <v>805</v>
      </c>
      <c r="B59" s="1026"/>
      <c r="C59" s="1026"/>
      <c r="D59" s="1026"/>
      <c r="E59" s="1026"/>
      <c r="F59" s="1026"/>
      <c r="G59" s="1026"/>
      <c r="H59" s="1026"/>
      <c r="I59" s="1026"/>
      <c r="J59" s="1026"/>
      <c r="K59" s="1026"/>
      <c r="L59" s="1026"/>
      <c r="M59" s="1026"/>
      <c r="N59" s="1026"/>
      <c r="O59" s="1026"/>
      <c r="P59" s="723"/>
      <c r="Q59" s="724"/>
      <c r="R59" s="724"/>
      <c r="S59" s="724"/>
      <c r="T59" s="686"/>
    </row>
    <row r="60" spans="1:20" x14ac:dyDescent="0.25">
      <c r="D60" s="50"/>
      <c r="E60" s="50"/>
      <c r="F60" s="50"/>
      <c r="I60" s="50"/>
      <c r="J60" s="50"/>
    </row>
    <row r="61" spans="1:20" x14ac:dyDescent="0.25">
      <c r="D61" s="50"/>
      <c r="E61" s="50"/>
      <c r="F61" s="50"/>
      <c r="I61" s="50"/>
      <c r="J61" s="50"/>
    </row>
    <row r="62" spans="1:20" x14ac:dyDescent="0.25">
      <c r="I62" s="50"/>
    </row>
    <row r="65" spans="4:15" x14ac:dyDescent="0.25">
      <c r="D65" s="50"/>
      <c r="E65" s="50"/>
      <c r="F65" s="50"/>
      <c r="I65" s="50"/>
      <c r="J65" s="50"/>
      <c r="K65" s="50"/>
      <c r="L65" s="50"/>
      <c r="M65" s="50"/>
      <c r="N65" s="50"/>
      <c r="O65" s="50"/>
    </row>
  </sheetData>
  <mergeCells count="57">
    <mergeCell ref="A56:C56"/>
    <mergeCell ref="A57:O57"/>
    <mergeCell ref="A59:O59"/>
    <mergeCell ref="A52:A55"/>
    <mergeCell ref="B52:B54"/>
    <mergeCell ref="K52:K54"/>
    <mergeCell ref="M52:M54"/>
    <mergeCell ref="N52:N54"/>
    <mergeCell ref="O52:O54"/>
    <mergeCell ref="B55:C55"/>
    <mergeCell ref="O42:O50"/>
    <mergeCell ref="B48:B50"/>
    <mergeCell ref="B51:C51"/>
    <mergeCell ref="A38:A41"/>
    <mergeCell ref="B38:B40"/>
    <mergeCell ref="K38:K40"/>
    <mergeCell ref="N38:N40"/>
    <mergeCell ref="O38:O40"/>
    <mergeCell ref="B41:C41"/>
    <mergeCell ref="A42:A51"/>
    <mergeCell ref="B42:B47"/>
    <mergeCell ref="D42:J47"/>
    <mergeCell ref="K42:K50"/>
    <mergeCell ref="N42:N50"/>
    <mergeCell ref="N19:N30"/>
    <mergeCell ref="O19:O30"/>
    <mergeCell ref="B21:B26"/>
    <mergeCell ref="B27:B30"/>
    <mergeCell ref="B37:C37"/>
    <mergeCell ref="D37:J37"/>
    <mergeCell ref="B19:B20"/>
    <mergeCell ref="D19:J20"/>
    <mergeCell ref="B31:C31"/>
    <mergeCell ref="B32:B36"/>
    <mergeCell ref="D32:J36"/>
    <mergeCell ref="N32:N36"/>
    <mergeCell ref="O32:O36"/>
    <mergeCell ref="K32:K36"/>
    <mergeCell ref="A6:A18"/>
    <mergeCell ref="B6:B7"/>
    <mergeCell ref="D6:J7"/>
    <mergeCell ref="K6:K17"/>
    <mergeCell ref="B18:C18"/>
    <mergeCell ref="K19:K30"/>
    <mergeCell ref="A19:A31"/>
    <mergeCell ref="A32:A37"/>
    <mergeCell ref="N6:N17"/>
    <mergeCell ref="O6:O17"/>
    <mergeCell ref="B8:B14"/>
    <mergeCell ref="B15:B17"/>
    <mergeCell ref="L15:L16"/>
    <mergeCell ref="A1:O1"/>
    <mergeCell ref="A2:A4"/>
    <mergeCell ref="B2:B4"/>
    <mergeCell ref="C2:C4"/>
    <mergeCell ref="D2:J3"/>
    <mergeCell ref="K2:O3"/>
  </mergeCells>
  <pageMargins left="0.70866141732283472" right="0.70866141732283472" top="0.74803149606299213" bottom="0.74803149606299213" header="0.31496062992125984" footer="0.31496062992125984"/>
  <pageSetup paperSize="9" scale="5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872E2-8A74-462B-B0C7-30863A7B67B0}">
  <sheetPr>
    <pageSetUpPr fitToPage="1"/>
  </sheetPr>
  <dimension ref="A1:R23"/>
  <sheetViews>
    <sheetView zoomScaleNormal="100" zoomScaleSheetLayoutView="100" workbookViewId="0">
      <selection activeCell="I16" sqref="I16"/>
    </sheetView>
  </sheetViews>
  <sheetFormatPr defaultColWidth="32" defaultRowHeight="11.25" x14ac:dyDescent="0.2"/>
  <cols>
    <col min="1" max="1" width="13.7109375" style="5" customWidth="1"/>
    <col min="2" max="3" width="12.5703125" style="668" customWidth="1"/>
    <col min="4" max="4" width="13.85546875" style="668" customWidth="1"/>
    <col min="5" max="5" width="12.28515625" style="5" customWidth="1"/>
    <col min="6" max="6" width="10.5703125" style="5" customWidth="1"/>
    <col min="7" max="7" width="14.7109375" style="5" customWidth="1"/>
    <col min="8" max="8" width="12.85546875" style="5" customWidth="1"/>
    <col min="9" max="9" width="13.42578125" style="5" customWidth="1"/>
    <col min="10" max="11" width="14.140625" style="5" customWidth="1"/>
    <col min="12" max="12" width="16.7109375" style="5" customWidth="1"/>
    <col min="13" max="13" width="11.7109375" style="5" customWidth="1"/>
    <col min="14" max="14" width="12.42578125" style="5" customWidth="1"/>
    <col min="15" max="15" width="13.5703125" style="5" customWidth="1"/>
    <col min="16" max="16" width="13.5703125" style="669" customWidth="1"/>
    <col min="17" max="18" width="13.5703125" style="5" customWidth="1"/>
    <col min="19" max="16384" width="32" style="5"/>
  </cols>
  <sheetData>
    <row r="1" spans="1:18" ht="15.75" customHeight="1" x14ac:dyDescent="0.25">
      <c r="A1" s="1014" t="s">
        <v>839</v>
      </c>
      <c r="B1" s="1014"/>
      <c r="C1" s="1014"/>
      <c r="D1" s="1014"/>
      <c r="E1" s="1014"/>
      <c r="F1" s="1014"/>
      <c r="G1" s="1014"/>
      <c r="H1" s="1014"/>
      <c r="I1" s="1014"/>
      <c r="J1" s="1014"/>
      <c r="K1" s="1014"/>
      <c r="L1" s="1014"/>
      <c r="M1" s="1014"/>
      <c r="N1" s="1014"/>
      <c r="O1" s="1014"/>
      <c r="P1" s="1014"/>
    </row>
    <row r="2" spans="1:18" ht="21" customHeight="1" x14ac:dyDescent="0.2">
      <c r="A2" s="1012" t="s">
        <v>761</v>
      </c>
      <c r="B2" s="1016" t="s">
        <v>840</v>
      </c>
      <c r="C2" s="1017"/>
      <c r="D2" s="1012" t="s">
        <v>841</v>
      </c>
      <c r="E2" s="1012" t="s">
        <v>764</v>
      </c>
      <c r="F2" s="1052" t="s">
        <v>765</v>
      </c>
      <c r="G2" s="1053"/>
      <c r="H2" s="1056" t="s">
        <v>675</v>
      </c>
      <c r="I2" s="1052"/>
      <c r="J2" s="1052"/>
      <c r="K2" s="1052"/>
      <c r="L2" s="1052"/>
      <c r="M2" s="1052"/>
      <c r="N2" s="1053"/>
      <c r="O2" s="1020" t="s">
        <v>786</v>
      </c>
      <c r="P2" s="1020"/>
      <c r="Q2" s="1020"/>
      <c r="R2" s="1020"/>
    </row>
    <row r="3" spans="1:18" ht="25.5" customHeight="1" x14ac:dyDescent="0.2">
      <c r="A3" s="1015"/>
      <c r="B3" s="1114"/>
      <c r="C3" s="1115"/>
      <c r="D3" s="1015"/>
      <c r="E3" s="1015"/>
      <c r="F3" s="1054"/>
      <c r="G3" s="1055"/>
      <c r="H3" s="1057"/>
      <c r="I3" s="1054"/>
      <c r="J3" s="1054"/>
      <c r="K3" s="1054"/>
      <c r="L3" s="1054"/>
      <c r="M3" s="1054"/>
      <c r="N3" s="1055"/>
      <c r="O3" s="1020"/>
      <c r="P3" s="1020"/>
      <c r="Q3" s="1020"/>
      <c r="R3" s="1020"/>
    </row>
    <row r="4" spans="1:18" s="649" customFormat="1" ht="15.75" customHeight="1" x14ac:dyDescent="0.25">
      <c r="A4" s="1015"/>
      <c r="B4" s="1018"/>
      <c r="C4" s="1019"/>
      <c r="D4" s="1015"/>
      <c r="E4" s="1015"/>
      <c r="F4" s="1012" t="s">
        <v>769</v>
      </c>
      <c r="G4" s="1012" t="s">
        <v>842</v>
      </c>
      <c r="H4" s="1012" t="s">
        <v>790</v>
      </c>
      <c r="I4" s="1012" t="s">
        <v>791</v>
      </c>
      <c r="J4" s="1012" t="s">
        <v>843</v>
      </c>
      <c r="K4" s="1012" t="s">
        <v>793</v>
      </c>
      <c r="L4" s="1012" t="s">
        <v>794</v>
      </c>
      <c r="M4" s="1012" t="s">
        <v>795</v>
      </c>
      <c r="N4" s="1012" t="s">
        <v>796</v>
      </c>
      <c r="O4" s="1020" t="s">
        <v>797</v>
      </c>
      <c r="P4" s="1020"/>
      <c r="Q4" s="1020"/>
      <c r="R4" s="1020" t="s">
        <v>768</v>
      </c>
    </row>
    <row r="5" spans="1:18" s="649" customFormat="1" ht="31.5" customHeight="1" x14ac:dyDescent="0.25">
      <c r="A5" s="1013"/>
      <c r="B5" s="670" t="s">
        <v>767</v>
      </c>
      <c r="C5" s="670" t="s">
        <v>768</v>
      </c>
      <c r="D5" s="1013"/>
      <c r="E5" s="1013"/>
      <c r="F5" s="1013"/>
      <c r="G5" s="1013"/>
      <c r="H5" s="1013"/>
      <c r="I5" s="1013"/>
      <c r="J5" s="1013"/>
      <c r="K5" s="1013"/>
      <c r="L5" s="1013"/>
      <c r="M5" s="1013"/>
      <c r="N5" s="1013"/>
      <c r="O5" s="648" t="s">
        <v>1</v>
      </c>
      <c r="P5" s="648" t="s">
        <v>2</v>
      </c>
      <c r="Q5" s="650" t="s">
        <v>774</v>
      </c>
      <c r="R5" s="1020"/>
    </row>
    <row r="6" spans="1:18" s="649" customFormat="1" x14ac:dyDescent="0.25">
      <c r="A6" s="651" t="s">
        <v>305</v>
      </c>
      <c r="B6" s="653" t="s">
        <v>306</v>
      </c>
      <c r="C6" s="651" t="s">
        <v>307</v>
      </c>
      <c r="D6" s="653" t="s">
        <v>308</v>
      </c>
      <c r="E6" s="651" t="s">
        <v>309</v>
      </c>
      <c r="F6" s="653" t="s">
        <v>517</v>
      </c>
      <c r="G6" s="651" t="s">
        <v>642</v>
      </c>
      <c r="H6" s="653" t="s">
        <v>310</v>
      </c>
      <c r="I6" s="653" t="s">
        <v>775</v>
      </c>
      <c r="J6" s="653" t="s">
        <v>518</v>
      </c>
      <c r="K6" s="651" t="s">
        <v>753</v>
      </c>
      <c r="L6" s="653" t="s">
        <v>741</v>
      </c>
      <c r="M6" s="653" t="s">
        <v>776</v>
      </c>
      <c r="N6" s="653" t="s">
        <v>755</v>
      </c>
      <c r="O6" s="653" t="s">
        <v>778</v>
      </c>
      <c r="P6" s="653" t="s">
        <v>757</v>
      </c>
      <c r="Q6" s="653" t="s">
        <v>844</v>
      </c>
      <c r="R6" s="653" t="s">
        <v>845</v>
      </c>
    </row>
    <row r="7" spans="1:18" ht="18.75" customHeight="1" x14ac:dyDescent="0.2">
      <c r="A7" s="1030" t="s">
        <v>398</v>
      </c>
      <c r="B7" s="1033">
        <v>96138933.013333395</v>
      </c>
      <c r="C7" s="1033">
        <v>46251759</v>
      </c>
      <c r="D7" s="1116">
        <f>+G16+K16</f>
        <v>97047954.127999991</v>
      </c>
      <c r="E7" s="641" t="s">
        <v>780</v>
      </c>
      <c r="F7" s="641">
        <v>158</v>
      </c>
      <c r="G7" s="665">
        <v>814206.27148097381</v>
      </c>
      <c r="H7" s="1069"/>
      <c r="I7" s="1069"/>
      <c r="J7" s="1069"/>
      <c r="K7" s="1069"/>
      <c r="L7" s="1069"/>
      <c r="M7" s="1069"/>
      <c r="N7" s="1069"/>
      <c r="O7" s="1118">
        <f>+'Dettaglio M11 x bando'!K40</f>
        <v>95763564.626666695</v>
      </c>
      <c r="P7" s="1118">
        <f>+'Dettaglio M11 x bando'!L40</f>
        <v>22333621.170000002</v>
      </c>
      <c r="Q7" s="1120">
        <f>+P7/O7</f>
        <v>0.23321626818161376</v>
      </c>
      <c r="R7" s="1118">
        <v>45970232.710000001</v>
      </c>
    </row>
    <row r="8" spans="1:18" ht="15" customHeight="1" x14ac:dyDescent="0.2">
      <c r="A8" s="1031"/>
      <c r="B8" s="1034"/>
      <c r="C8" s="1034"/>
      <c r="D8" s="1117"/>
      <c r="E8" s="641">
        <v>2015</v>
      </c>
      <c r="F8" s="660">
        <v>1662</v>
      </c>
      <c r="G8" s="665">
        <v>8536904.265459476</v>
      </c>
      <c r="H8" s="1069"/>
      <c r="I8" s="1069"/>
      <c r="J8" s="1069"/>
      <c r="K8" s="1069"/>
      <c r="L8" s="1069"/>
      <c r="M8" s="1069"/>
      <c r="N8" s="1069"/>
      <c r="O8" s="1119"/>
      <c r="P8" s="1119"/>
      <c r="Q8" s="1121"/>
      <c r="R8" s="1119"/>
    </row>
    <row r="9" spans="1:18" ht="15" customHeight="1" x14ac:dyDescent="0.2">
      <c r="A9" s="1031"/>
      <c r="B9" s="1034"/>
      <c r="C9" s="1034"/>
      <c r="D9" s="1117"/>
      <c r="E9" s="641">
        <v>2016</v>
      </c>
      <c r="F9" s="660">
        <v>1136</v>
      </c>
      <c r="G9" s="665">
        <v>6247596.8272952037</v>
      </c>
      <c r="H9" s="676">
        <f>+'Dettaglio M11 x bando'!D8</f>
        <v>596</v>
      </c>
      <c r="I9" s="386">
        <f>+'Dettaglio M11 x bando'!E8</f>
        <v>3309825.2799999979</v>
      </c>
      <c r="J9" s="386">
        <f>+'Dettaglio M11 x bando'!F8</f>
        <v>2270030.4700000002</v>
      </c>
      <c r="K9" s="386">
        <f>+'Dettaglio M11 x bando'!G8</f>
        <v>2304939.1500000008</v>
      </c>
      <c r="L9" s="386">
        <f>+'Dettaglio M11 x bando'!H8</f>
        <v>2304939.1500000008</v>
      </c>
      <c r="M9" s="676">
        <f>+'Dettaglio M11 x bando'!I8</f>
        <v>466</v>
      </c>
      <c r="N9" s="676">
        <f>+'Dettaglio M11 x bando'!J8</f>
        <v>13</v>
      </c>
      <c r="O9" s="1119"/>
      <c r="P9" s="1119"/>
      <c r="Q9" s="1121"/>
      <c r="R9" s="1119"/>
    </row>
    <row r="10" spans="1:18" ht="15" customHeight="1" x14ac:dyDescent="0.2">
      <c r="A10" s="1031"/>
      <c r="B10" s="1034"/>
      <c r="C10" s="1034"/>
      <c r="D10" s="1117"/>
      <c r="E10" s="641">
        <v>2017</v>
      </c>
      <c r="F10" s="660">
        <v>1034</v>
      </c>
      <c r="G10" s="665">
        <v>5750812.3220866909</v>
      </c>
      <c r="H10" s="676">
        <f>+'Dettaglio M11 x bando'!D9+'Dettaglio M11 x bando'!D14</f>
        <v>634</v>
      </c>
      <c r="I10" s="386">
        <f>+'Dettaglio M11 x bando'!E9+'Dettaglio M11 x bando'!E14</f>
        <v>3311490.6363999993</v>
      </c>
      <c r="J10" s="386">
        <f>+'Dettaglio M11 x bando'!F9+'Dettaglio M11 x bando'!F14</f>
        <v>2296334.77</v>
      </c>
      <c r="K10" s="386">
        <f>+'Dettaglio M11 x bando'!G9+'Dettaglio M11 x bando'!G14</f>
        <v>2307976.58</v>
      </c>
      <c r="L10" s="386">
        <f>+'Dettaglio M11 x bando'!H9+'Dettaglio M11 x bando'!H14</f>
        <v>2307976.58</v>
      </c>
      <c r="M10" s="676">
        <f>+'Dettaglio M11 x bando'!I9+'Dettaglio M11 x bando'!I14</f>
        <v>506</v>
      </c>
      <c r="N10" s="676">
        <f>+'Dettaglio M11 x bando'!J9+'Dettaglio M11 x bando'!J14</f>
        <v>18</v>
      </c>
      <c r="O10" s="1119"/>
      <c r="P10" s="1119"/>
      <c r="Q10" s="1121"/>
      <c r="R10" s="1119"/>
    </row>
    <row r="11" spans="1:18" ht="15" customHeight="1" x14ac:dyDescent="0.2">
      <c r="A11" s="1031"/>
      <c r="B11" s="1034"/>
      <c r="C11" s="1034"/>
      <c r="D11" s="1117"/>
      <c r="E11" s="641">
        <v>2018</v>
      </c>
      <c r="F11" s="660">
        <v>251</v>
      </c>
      <c r="G11" s="665">
        <v>1150480.3136776562</v>
      </c>
      <c r="H11" s="676">
        <f>+'Dettaglio M11 x bando'!D10+'Dettaglio M11 x bando'!D15+'Dettaglio M11 x bando'!D20</f>
        <v>1383</v>
      </c>
      <c r="I11" s="386">
        <f>+'Dettaglio M11 x bando'!E10+'Dettaglio M11 x bando'!E15+'Dettaglio M11 x bando'!E20</f>
        <v>10970276.083599996</v>
      </c>
      <c r="J11" s="386">
        <f>+'Dettaglio M11 x bando'!F10+'Dettaglio M11 x bando'!F15+'Dettaglio M11 x bando'!F20</f>
        <v>8706900.0399999935</v>
      </c>
      <c r="K11" s="386">
        <f>+'Dettaglio M11 x bando'!G10+'Dettaglio M11 x bando'!G15+'Dettaglio M11 x bando'!G20</f>
        <v>8717166.9199999925</v>
      </c>
      <c r="L11" s="386">
        <f>+'Dettaglio M11 x bando'!H10+'Dettaglio M11 x bando'!H15+'Dettaglio M11 x bando'!H20</f>
        <v>8717166.9199999925</v>
      </c>
      <c r="M11" s="676">
        <f>+'Dettaglio M11 x bando'!I10+'Dettaglio M11 x bando'!I15+'Dettaglio M11 x bando'!I20</f>
        <v>1206</v>
      </c>
      <c r="N11" s="676">
        <f>+'Dettaglio M11 x bando'!J10+'Dettaglio M11 x bando'!J15+'Dettaglio M11 x bando'!J20</f>
        <v>35</v>
      </c>
      <c r="O11" s="1119"/>
      <c r="P11" s="1119"/>
      <c r="Q11" s="1121"/>
      <c r="R11" s="1119"/>
    </row>
    <row r="12" spans="1:18" ht="15" customHeight="1" x14ac:dyDescent="0.2">
      <c r="A12" s="1031"/>
      <c r="B12" s="1034"/>
      <c r="C12" s="1034"/>
      <c r="D12" s="1117"/>
      <c r="E12" s="641">
        <v>2019</v>
      </c>
      <c r="F12" s="1122"/>
      <c r="G12" s="1123"/>
      <c r="H12" s="676">
        <f>+'Dettaglio M11 x bando'!D11+'Dettaglio M11 x bando'!D16+'Dettaglio M11 x bando'!D21+'Dettaglio M11 x bando'!D26</f>
        <v>1617</v>
      </c>
      <c r="I12" s="386">
        <f>+'Dettaglio M11 x bando'!E11+'Dettaglio M11 x bando'!E16+'Dettaglio M11 x bando'!E21+'Dettaglio M11 x bando'!E26</f>
        <v>13961857.134499997</v>
      </c>
      <c r="J12" s="386">
        <f>+'Dettaglio M11 x bando'!F11+'Dettaglio M11 x bando'!F16+'Dettaglio M11 x bando'!F21+'Dettaglio M11 x bando'!F26</f>
        <v>11740374.109999998</v>
      </c>
      <c r="K12" s="386">
        <f>+'Dettaglio M11 x bando'!G11+'Dettaglio M11 x bando'!G16+'Dettaglio M11 x bando'!G21+'Dettaglio M11 x bando'!G26</f>
        <v>11810996.5</v>
      </c>
      <c r="L12" s="386">
        <f>+'Dettaglio M11 x bando'!H11+'Dettaglio M11 x bando'!H16+'Dettaglio M11 x bando'!H21+'Dettaglio M11 x bando'!H26</f>
        <v>11810996.5</v>
      </c>
      <c r="M12" s="676">
        <f>+'Dettaglio M11 x bando'!I11+'Dettaglio M11 x bando'!I16+'Dettaglio M11 x bando'!I21+'Dettaglio M11 x bando'!I26</f>
        <v>1494</v>
      </c>
      <c r="N12" s="676">
        <f>+'Dettaglio M11 x bando'!J11+'Dettaglio M11 x bando'!J16+'Dettaglio M11 x bando'!J21+'Dettaglio M11 x bando'!J26</f>
        <v>30</v>
      </c>
      <c r="O12" s="1119"/>
      <c r="P12" s="1119"/>
      <c r="Q12" s="1121"/>
      <c r="R12" s="1119"/>
    </row>
    <row r="13" spans="1:18" ht="15" customHeight="1" x14ac:dyDescent="0.2">
      <c r="A13" s="1031"/>
      <c r="B13" s="1034"/>
      <c r="C13" s="1034"/>
      <c r="D13" s="1117"/>
      <c r="E13" s="641">
        <v>2020</v>
      </c>
      <c r="F13" s="1124"/>
      <c r="G13" s="1125"/>
      <c r="H13" s="676">
        <f>+'Dettaglio M11 x bando'!D12+'Dettaglio M11 x bando'!D17+'Dettaglio M11 x bando'!D22+'Dettaglio M11 x bando'!D27+'Dettaglio M11 x bando'!D31</f>
        <v>1897</v>
      </c>
      <c r="I13" s="386">
        <f>+'Dettaglio M11 x bando'!E12+'Dettaglio M11 x bando'!E17+'Dettaglio M11 x bando'!E22+'Dettaglio M11 x bando'!E27+'Dettaglio M11 x bando'!E31</f>
        <v>17655479.012400001</v>
      </c>
      <c r="J13" s="386">
        <f>+'Dettaglio M11 x bando'!F12+'Dettaglio M11 x bando'!F17+'Dettaglio M11 x bando'!F22+'Dettaglio M11 x bando'!F27+'Dettaglio M11 x bando'!F31</f>
        <v>13829946.280000003</v>
      </c>
      <c r="K13" s="386">
        <f>+'Dettaglio M11 x bando'!G12+'Dettaglio M11 x bando'!G17+'Dettaglio M11 x bando'!G22+'Dettaglio M11 x bando'!G27+'Dettaglio M11 x bando'!G31</f>
        <v>14646175.038000004</v>
      </c>
      <c r="L13" s="386">
        <f>+'Dettaglio M11 x bando'!H12+'Dettaglio M11 x bando'!H17+'Dettaglio M11 x bando'!H22+'Dettaglio M11 x bando'!H27+'Dettaglio M11 x bando'!H31</f>
        <v>14646175.038000004</v>
      </c>
      <c r="M13" s="676">
        <f>+'Dettaglio M11 x bando'!I12+'Dettaglio M11 x bando'!I17+'Dettaglio M11 x bando'!I22+'Dettaglio M11 x bando'!I27+'Dettaglio M11 x bando'!I31</f>
        <v>1774</v>
      </c>
      <c r="N13" s="676">
        <f>+'Dettaglio M11 x bando'!J12+'Dettaglio M11 x bando'!J17+'Dettaglio M11 x bando'!J22+'Dettaglio M11 x bando'!J27+'Dettaglio M11 x bando'!J31</f>
        <v>33</v>
      </c>
      <c r="O13" s="1119"/>
      <c r="P13" s="1119"/>
      <c r="Q13" s="1121"/>
      <c r="R13" s="1119"/>
    </row>
    <row r="14" spans="1:18" ht="15" customHeight="1" x14ac:dyDescent="0.2">
      <c r="A14" s="1031"/>
      <c r="B14" s="1034"/>
      <c r="C14" s="1034"/>
      <c r="D14" s="1117"/>
      <c r="E14" s="641">
        <v>2021</v>
      </c>
      <c r="F14" s="1124"/>
      <c r="G14" s="1125"/>
      <c r="H14" s="676">
        <f>+'Dettaglio M11 x bando'!D18+'Dettaglio M11 x bando'!D23+'Dettaglio M11 x bando'!D28+'Dettaglio M11 x bando'!D32+'Dettaglio M11 x bando'!D35</f>
        <v>1977</v>
      </c>
      <c r="I14" s="386">
        <f>+'Dettaglio M11 x bando'!E18+'Dettaglio M11 x bando'!E23+'Dettaglio M11 x bando'!E28+'Dettaglio M11 x bando'!E32+'Dettaglio M11 x bando'!E35</f>
        <v>17839683.120000005</v>
      </c>
      <c r="J14" s="386">
        <f>+'Dettaglio M11 x bando'!F18+'Dettaglio M11 x bando'!F23+'Dettaglio M11 x bando'!F28+'Dettaglio M11 x bando'!F32+'Dettaglio M11 x bando'!F35</f>
        <v>15733050.460000003</v>
      </c>
      <c r="K14" s="386">
        <f>+'Dettaglio M11 x bando'!G18+'Dettaglio M11 x bando'!G23+'Dettaglio M11 x bando'!G28+'Dettaglio M11 x bando'!G32+'Dettaglio M11 x bando'!G35</f>
        <v>15998799.450000003</v>
      </c>
      <c r="L14" s="386">
        <f>+'Dettaglio M11 x bando'!H18+'Dettaglio M11 x bando'!H23+'Dettaglio M11 x bando'!H28+'Dettaglio M11 x bando'!H32+'Dettaglio M11 x bando'!H35</f>
        <v>15998799.450000003</v>
      </c>
      <c r="M14" s="676">
        <f>+'Dettaglio M11 x bando'!I18+'Dettaglio M11 x bando'!I23+'Dettaglio M11 x bando'!I28+'Dettaglio M11 x bando'!I32+'Dettaglio M11 x bando'!I35</f>
        <v>1934</v>
      </c>
      <c r="N14" s="676">
        <f>+'Dettaglio M11 x bando'!J18+'Dettaglio M11 x bando'!J23+'Dettaglio M11 x bando'!J28+'Dettaglio M11 x bando'!J32+'Dettaglio M11 x bando'!J35</f>
        <v>17</v>
      </c>
      <c r="O14" s="1119"/>
      <c r="P14" s="1119"/>
      <c r="Q14" s="1121"/>
      <c r="R14" s="1119"/>
    </row>
    <row r="15" spans="1:18" ht="15" customHeight="1" x14ac:dyDescent="0.2">
      <c r="A15" s="1031"/>
      <c r="B15" s="1034"/>
      <c r="C15" s="1035"/>
      <c r="D15" s="1117"/>
      <c r="E15" s="641">
        <v>2022</v>
      </c>
      <c r="F15" s="1124"/>
      <c r="G15" s="1125"/>
      <c r="H15" s="676">
        <f>+'Dettaglio M11 x bando'!D24+'Dettaglio M11 x bando'!D29+'Dettaglio M11 x bando'!D33+'Dettaglio M11 x bando'!D36+'Dettaglio M11 x bando'!D38</f>
        <v>2255</v>
      </c>
      <c r="I15" s="386">
        <f>+'Dettaglio M11 x bando'!E24+'Dettaglio M11 x bando'!E29+'Dettaglio M11 x bando'!E33+'Dettaglio M11 x bando'!E36+'Dettaglio M11 x bando'!E38</f>
        <v>20815854.880000003</v>
      </c>
      <c r="J15" s="386">
        <f>+'Dettaglio M11 x bando'!F24+'Dettaglio M11 x bando'!F29+'Dettaglio M11 x bando'!F33+'Dettaglio M11 x bando'!F36+'Dettaglio M11 x bando'!F38</f>
        <v>18517886.619999997</v>
      </c>
      <c r="K15" s="386">
        <f>+'Dettaglio M11 x bando'!G24+'Dettaglio M11 x bando'!G29+'Dettaglio M11 x bando'!G33+'Dettaglio M11 x bando'!G36+'Dettaglio M11 x bando'!G38</f>
        <v>18761900.490000002</v>
      </c>
      <c r="L15" s="386">
        <f>+'Dettaglio M11 x bando'!H24+'Dettaglio M11 x bando'!H29+'Dettaglio M11 x bando'!H33+'Dettaglio M11 x bando'!H36+'Dettaglio M11 x bando'!H38</f>
        <v>18761900.490000002</v>
      </c>
      <c r="M15" s="676">
        <f>+'Dettaglio M11 x bando'!I24+'Dettaglio M11 x bando'!I29+'Dettaglio M11 x bando'!I33+'Dettaglio M11 x bando'!I36+'Dettaglio M11 x bando'!I38</f>
        <v>2199</v>
      </c>
      <c r="N15" s="676">
        <f>+'Dettaglio M11 x bando'!J24+'Dettaglio M11 x bando'!J29+'Dettaglio M11 x bando'!J33+'Dettaglio M11 x bando'!J36+'Dettaglio M11 x bando'!J38</f>
        <v>34</v>
      </c>
      <c r="O15" s="1119"/>
      <c r="P15" s="1119"/>
      <c r="Q15" s="1121"/>
      <c r="R15" s="1119"/>
    </row>
    <row r="16" spans="1:18" ht="15.75" customHeight="1" x14ac:dyDescent="0.2">
      <c r="A16" s="679" t="s">
        <v>846</v>
      </c>
      <c r="B16" s="680">
        <f>+B7</f>
        <v>96138933.013333395</v>
      </c>
      <c r="C16" s="680">
        <f>+C7</f>
        <v>46251759</v>
      </c>
      <c r="D16" s="680">
        <f>+D7</f>
        <v>97047954.127999991</v>
      </c>
      <c r="E16" s="681"/>
      <c r="F16" s="664">
        <f>SUM(F7:F11)</f>
        <v>4241</v>
      </c>
      <c r="G16" s="682">
        <f>SUM(G7:G11)</f>
        <v>22500000.000000004</v>
      </c>
      <c r="H16" s="664">
        <f>SUM(H9:H15)</f>
        <v>10359</v>
      </c>
      <c r="I16" s="682">
        <f t="shared" ref="I16:N16" si="0">SUM(I9:I15)</f>
        <v>87864466.146899998</v>
      </c>
      <c r="J16" s="682">
        <f t="shared" si="0"/>
        <v>73094522.75</v>
      </c>
      <c r="K16" s="682">
        <f t="shared" si="0"/>
        <v>74547954.127999991</v>
      </c>
      <c r="L16" s="682">
        <f t="shared" si="0"/>
        <v>74547954.127999991</v>
      </c>
      <c r="M16" s="664">
        <f t="shared" si="0"/>
        <v>9579</v>
      </c>
      <c r="N16" s="664">
        <f t="shared" si="0"/>
        <v>180</v>
      </c>
      <c r="O16" s="682">
        <f>SUM(O7)</f>
        <v>95763564.626666695</v>
      </c>
      <c r="P16" s="682">
        <f>SUM(P7)</f>
        <v>22333621.170000002</v>
      </c>
      <c r="Q16" s="728">
        <f>+P16/O16</f>
        <v>0.23321626818161376</v>
      </c>
      <c r="R16" s="682">
        <f>+R7</f>
        <v>45970232.710000001</v>
      </c>
    </row>
    <row r="17" spans="1:18" x14ac:dyDescent="0.2">
      <c r="O17" s="426"/>
    </row>
    <row r="18" spans="1:18" s="685" customFormat="1" ht="97.5" customHeight="1" x14ac:dyDescent="0.25">
      <c r="A18" s="1113" t="s">
        <v>847</v>
      </c>
      <c r="B18" s="1113"/>
      <c r="C18" s="1113"/>
      <c r="D18" s="1113"/>
      <c r="E18" s="1113"/>
      <c r="F18" s="1113"/>
      <c r="G18" s="1113"/>
      <c r="H18" s="1113"/>
      <c r="I18" s="1113"/>
      <c r="J18" s="1113"/>
      <c r="K18" s="1113"/>
      <c r="L18" s="1113"/>
      <c r="M18" s="1113"/>
      <c r="N18" s="1113"/>
      <c r="O18" s="1113"/>
      <c r="P18" s="1113"/>
      <c r="Q18" s="1113"/>
      <c r="R18" s="1113"/>
    </row>
    <row r="19" spans="1:18" ht="23.25" customHeight="1" x14ac:dyDescent="0.2">
      <c r="A19" s="1059"/>
      <c r="B19" s="1059"/>
      <c r="C19" s="1059"/>
      <c r="D19" s="1059"/>
      <c r="E19" s="1059"/>
      <c r="F19" s="1059"/>
      <c r="G19" s="1059"/>
      <c r="H19" s="1059"/>
      <c r="I19" s="1059"/>
      <c r="J19" s="1059"/>
      <c r="K19" s="1059"/>
      <c r="L19" s="1059"/>
      <c r="M19" s="1059"/>
      <c r="N19" s="1059"/>
      <c r="O19" s="1059"/>
      <c r="P19" s="1059"/>
      <c r="Q19" s="1059"/>
      <c r="R19" s="686"/>
    </row>
    <row r="20" spans="1:18" ht="28.5" customHeight="1" x14ac:dyDescent="0.2">
      <c r="A20" s="1026" t="s">
        <v>805</v>
      </c>
      <c r="B20" s="1026"/>
      <c r="C20" s="1026"/>
      <c r="D20" s="1026"/>
      <c r="E20" s="1026"/>
      <c r="F20" s="1026"/>
      <c r="G20" s="1026"/>
      <c r="H20" s="1026"/>
      <c r="I20" s="1026"/>
      <c r="J20" s="1026"/>
      <c r="K20" s="1026"/>
      <c r="L20" s="1026"/>
      <c r="M20" s="1026"/>
      <c r="N20" s="1026"/>
      <c r="O20" s="1026"/>
      <c r="P20" s="1026"/>
      <c r="Q20" s="1026"/>
      <c r="R20" s="1026"/>
    </row>
    <row r="21" spans="1:18" x14ac:dyDescent="0.2">
      <c r="H21" s="426"/>
      <c r="I21" s="426"/>
      <c r="J21" s="426"/>
      <c r="K21" s="426"/>
      <c r="L21" s="426"/>
      <c r="M21" s="426"/>
      <c r="N21" s="426"/>
      <c r="O21" s="426"/>
    </row>
    <row r="22" spans="1:18" x14ac:dyDescent="0.2">
      <c r="K22" s="426"/>
      <c r="L22" s="426"/>
    </row>
    <row r="23" spans="1:18" x14ac:dyDescent="0.2">
      <c r="K23" s="426"/>
      <c r="L23" s="426"/>
    </row>
  </sheetData>
  <mergeCells count="32">
    <mergeCell ref="Q7:Q15"/>
    <mergeCell ref="R7:R15"/>
    <mergeCell ref="F12:G15"/>
    <mergeCell ref="A18:R18"/>
    <mergeCell ref="A19:Q19"/>
    <mergeCell ref="A20:R20"/>
    <mergeCell ref="N4:N5"/>
    <mergeCell ref="O4:Q4"/>
    <mergeCell ref="R4:R5"/>
    <mergeCell ref="A7:A15"/>
    <mergeCell ref="B7:B15"/>
    <mergeCell ref="C7:C15"/>
    <mergeCell ref="D7:D15"/>
    <mergeCell ref="H7:N8"/>
    <mergeCell ref="O7:O15"/>
    <mergeCell ref="P7:P15"/>
    <mergeCell ref="H4:H5"/>
    <mergeCell ref="I4:I5"/>
    <mergeCell ref="J4:J5"/>
    <mergeCell ref="K4:K5"/>
    <mergeCell ref="L4:L5"/>
    <mergeCell ref="M4:M5"/>
    <mergeCell ref="A1:P1"/>
    <mergeCell ref="A2:A5"/>
    <mergeCell ref="B2:C4"/>
    <mergeCell ref="D2:D5"/>
    <mergeCell ref="E2:E5"/>
    <mergeCell ref="F2:G3"/>
    <mergeCell ref="H2:N3"/>
    <mergeCell ref="O2:R3"/>
    <mergeCell ref="F4:F5"/>
    <mergeCell ref="G4:G5"/>
  </mergeCells>
  <printOptions horizontalCentered="1" verticalCentered="1"/>
  <pageMargins left="0.39370078740157483" right="0.39370078740157483" top="0.39370078740157483" bottom="0.39370078740157483" header="0.31496062992125984" footer="0.31496062992125984"/>
  <pageSetup paperSize="9" scale="58"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17F4F-4B8F-4D94-A39D-7D48A523229B}">
  <sheetPr>
    <pageSetUpPr fitToPage="1"/>
  </sheetPr>
  <dimension ref="A1:R44"/>
  <sheetViews>
    <sheetView zoomScaleNormal="100" zoomScaleSheetLayoutView="100" workbookViewId="0">
      <pane xSplit="2" ySplit="5" topLeftCell="C32" activePane="bottomRight" state="frozen"/>
      <selection activeCell="A17" sqref="A17:E17"/>
      <selection pane="topRight" activeCell="A17" sqref="A17:E17"/>
      <selection pane="bottomLeft" activeCell="A17" sqref="A17:E17"/>
      <selection pane="bottomRight" activeCell="A6" sqref="A6:J39"/>
    </sheetView>
  </sheetViews>
  <sheetFormatPr defaultColWidth="32" defaultRowHeight="11.25" x14ac:dyDescent="0.2"/>
  <cols>
    <col min="1" max="1" width="13.7109375" style="5" customWidth="1"/>
    <col min="2" max="2" width="13.85546875" style="668" customWidth="1"/>
    <col min="3" max="10" width="13" style="5" customWidth="1"/>
    <col min="11" max="11" width="12.85546875" style="5" customWidth="1"/>
    <col min="12" max="12" width="16.85546875" style="5" customWidth="1"/>
    <col min="13" max="13" width="14.85546875" style="669" customWidth="1"/>
    <col min="14" max="16384" width="32" style="5"/>
  </cols>
  <sheetData>
    <row r="1" spans="1:13" ht="15.75" customHeight="1" x14ac:dyDescent="0.25">
      <c r="A1" s="1014" t="s">
        <v>848</v>
      </c>
      <c r="B1" s="1014"/>
      <c r="C1" s="1014"/>
      <c r="D1" s="1014"/>
      <c r="E1" s="1014"/>
      <c r="F1" s="1014"/>
      <c r="G1" s="1014"/>
      <c r="H1" s="1014"/>
      <c r="I1" s="1014"/>
      <c r="J1" s="1014"/>
      <c r="K1" s="1014"/>
      <c r="L1" s="1014"/>
      <c r="M1" s="1014"/>
    </row>
    <row r="2" spans="1:13" ht="21" customHeight="1" x14ac:dyDescent="0.2">
      <c r="A2" s="1020" t="s">
        <v>761</v>
      </c>
      <c r="B2" s="1012" t="s">
        <v>808</v>
      </c>
      <c r="C2" s="1020" t="s">
        <v>764</v>
      </c>
      <c r="D2" s="1056" t="s">
        <v>675</v>
      </c>
      <c r="E2" s="1052"/>
      <c r="F2" s="1052"/>
      <c r="G2" s="1052"/>
      <c r="H2" s="1052"/>
      <c r="I2" s="1052"/>
      <c r="J2" s="1053"/>
      <c r="K2" s="1056" t="s">
        <v>786</v>
      </c>
      <c r="L2" s="1052"/>
      <c r="M2" s="1053"/>
    </row>
    <row r="3" spans="1:13" ht="25.5" customHeight="1" x14ac:dyDescent="0.2">
      <c r="A3" s="1020"/>
      <c r="B3" s="1015"/>
      <c r="C3" s="1020"/>
      <c r="D3" s="1057"/>
      <c r="E3" s="1054"/>
      <c r="F3" s="1054"/>
      <c r="G3" s="1054"/>
      <c r="H3" s="1054"/>
      <c r="I3" s="1054"/>
      <c r="J3" s="1055"/>
      <c r="K3" s="1057"/>
      <c r="L3" s="1054"/>
      <c r="M3" s="1055"/>
    </row>
    <row r="4" spans="1:13" s="649" customFormat="1" ht="60.75" customHeight="1" x14ac:dyDescent="0.25">
      <c r="A4" s="1020"/>
      <c r="B4" s="1013"/>
      <c r="C4" s="1020"/>
      <c r="D4" s="648" t="s">
        <v>809</v>
      </c>
      <c r="E4" s="648" t="s">
        <v>810</v>
      </c>
      <c r="F4" s="648" t="s">
        <v>811</v>
      </c>
      <c r="G4" s="648" t="s">
        <v>812</v>
      </c>
      <c r="H4" s="648" t="s">
        <v>813</v>
      </c>
      <c r="I4" s="648" t="s">
        <v>814</v>
      </c>
      <c r="J4" s="648" t="s">
        <v>815</v>
      </c>
      <c r="K4" s="648" t="s">
        <v>816</v>
      </c>
      <c r="L4" s="648" t="s">
        <v>818</v>
      </c>
      <c r="M4" s="650" t="s">
        <v>774</v>
      </c>
    </row>
    <row r="5" spans="1:13" s="649" customFormat="1" x14ac:dyDescent="0.25">
      <c r="A5" s="651" t="s">
        <v>305</v>
      </c>
      <c r="B5" s="651" t="s">
        <v>306</v>
      </c>
      <c r="C5" s="653" t="s">
        <v>307</v>
      </c>
      <c r="D5" s="651" t="s">
        <v>308</v>
      </c>
      <c r="E5" s="651" t="s">
        <v>309</v>
      </c>
      <c r="F5" s="651" t="s">
        <v>517</v>
      </c>
      <c r="G5" s="653" t="s">
        <v>642</v>
      </c>
      <c r="H5" s="653" t="s">
        <v>310</v>
      </c>
      <c r="I5" s="653" t="s">
        <v>775</v>
      </c>
      <c r="J5" s="651" t="s">
        <v>518</v>
      </c>
      <c r="K5" s="653" t="s">
        <v>753</v>
      </c>
      <c r="L5" s="653" t="s">
        <v>741</v>
      </c>
      <c r="M5" s="653" t="s">
        <v>849</v>
      </c>
    </row>
    <row r="6" spans="1:13" ht="22.5" customHeight="1" x14ac:dyDescent="0.2">
      <c r="A6" s="1030" t="s">
        <v>398</v>
      </c>
      <c r="B6" s="1130"/>
      <c r="C6" s="641" t="s">
        <v>780</v>
      </c>
      <c r="D6" s="1069"/>
      <c r="E6" s="1069"/>
      <c r="F6" s="1069"/>
      <c r="G6" s="1069"/>
      <c r="H6" s="1069"/>
      <c r="I6" s="1069"/>
      <c r="J6" s="1069"/>
      <c r="K6" s="1039">
        <v>95763564.626666695</v>
      </c>
      <c r="L6" s="1039">
        <v>22333621.170000002</v>
      </c>
      <c r="M6" s="1132">
        <f>+L6/K6</f>
        <v>0.23321626818161376</v>
      </c>
    </row>
    <row r="7" spans="1:13" ht="15" customHeight="1" x14ac:dyDescent="0.2">
      <c r="A7" s="1031"/>
      <c r="B7" s="1131"/>
      <c r="C7" s="641">
        <v>2015</v>
      </c>
      <c r="D7" s="1069"/>
      <c r="E7" s="1069"/>
      <c r="F7" s="1069"/>
      <c r="G7" s="1069"/>
      <c r="H7" s="1069"/>
      <c r="I7" s="1069"/>
      <c r="J7" s="1069"/>
      <c r="K7" s="1040"/>
      <c r="L7" s="1040"/>
      <c r="M7" s="1133"/>
    </row>
    <row r="8" spans="1:13" ht="15" customHeight="1" x14ac:dyDescent="0.2">
      <c r="A8" s="1031"/>
      <c r="B8" s="1129" t="s">
        <v>850</v>
      </c>
      <c r="C8" s="641">
        <v>2016</v>
      </c>
      <c r="D8" s="730">
        <v>596</v>
      </c>
      <c r="E8" s="638">
        <v>3309825.2799999979</v>
      </c>
      <c r="F8" s="638">
        <v>2270030.4700000002</v>
      </c>
      <c r="G8" s="698">
        <v>2304939.1500000008</v>
      </c>
      <c r="H8" s="698">
        <v>2304939.1500000008</v>
      </c>
      <c r="I8" s="730">
        <v>466</v>
      </c>
      <c r="J8" s="730">
        <v>13</v>
      </c>
      <c r="K8" s="1040"/>
      <c r="L8" s="1040"/>
      <c r="M8" s="1133"/>
    </row>
    <row r="9" spans="1:13" ht="15" customHeight="1" x14ac:dyDescent="0.2">
      <c r="A9" s="1031"/>
      <c r="B9" s="1129"/>
      <c r="C9" s="641">
        <v>2017</v>
      </c>
      <c r="D9" s="730">
        <v>394</v>
      </c>
      <c r="E9" s="638">
        <v>2221882.1018999992</v>
      </c>
      <c r="F9" s="638">
        <v>1643839.17</v>
      </c>
      <c r="G9" s="698">
        <v>1639593.7999999998</v>
      </c>
      <c r="H9" s="698">
        <v>1639593.7999999998</v>
      </c>
      <c r="I9" s="730">
        <v>331</v>
      </c>
      <c r="J9" s="730">
        <v>15</v>
      </c>
      <c r="K9" s="1040"/>
      <c r="L9" s="1040"/>
      <c r="M9" s="1133"/>
    </row>
    <row r="10" spans="1:13" ht="15" customHeight="1" x14ac:dyDescent="0.2">
      <c r="A10" s="1031"/>
      <c r="B10" s="1129"/>
      <c r="C10" s="641">
        <v>2018</v>
      </c>
      <c r="D10" s="730">
        <v>353</v>
      </c>
      <c r="E10" s="638">
        <v>2358374.0052999994</v>
      </c>
      <c r="F10" s="638">
        <v>1911377.0599999998</v>
      </c>
      <c r="G10" s="698">
        <v>1863332.1199999994</v>
      </c>
      <c r="H10" s="698">
        <v>1863332.1199999994</v>
      </c>
      <c r="I10" s="730">
        <v>305</v>
      </c>
      <c r="J10" s="730">
        <v>16</v>
      </c>
      <c r="K10" s="1040"/>
      <c r="L10" s="1040"/>
      <c r="M10" s="1133"/>
    </row>
    <row r="11" spans="1:13" ht="15" customHeight="1" x14ac:dyDescent="0.2">
      <c r="A11" s="1031"/>
      <c r="B11" s="1129"/>
      <c r="C11" s="641">
        <v>2019</v>
      </c>
      <c r="D11" s="730">
        <v>325</v>
      </c>
      <c r="E11" s="638">
        <v>2367346.8023999976</v>
      </c>
      <c r="F11" s="638">
        <v>1946356.23</v>
      </c>
      <c r="G11" s="698">
        <v>1952666.0799999998</v>
      </c>
      <c r="H11" s="698">
        <v>1952666.0799999998</v>
      </c>
      <c r="I11" s="730">
        <v>307</v>
      </c>
      <c r="J11" s="730">
        <v>10</v>
      </c>
      <c r="K11" s="1040"/>
      <c r="L11" s="1040"/>
      <c r="M11" s="1133"/>
    </row>
    <row r="12" spans="1:13" ht="15" customHeight="1" x14ac:dyDescent="0.2">
      <c r="A12" s="1031"/>
      <c r="B12" s="1129"/>
      <c r="C12" s="641">
        <v>2020</v>
      </c>
      <c r="D12" s="730">
        <v>305</v>
      </c>
      <c r="E12" s="638">
        <v>2403623.2482999992</v>
      </c>
      <c r="F12" s="638">
        <v>1853650.4899999984</v>
      </c>
      <c r="G12" s="698">
        <v>1949838.2899999982</v>
      </c>
      <c r="H12" s="698">
        <v>1949838.2899999982</v>
      </c>
      <c r="I12" s="730">
        <v>291</v>
      </c>
      <c r="J12" s="730">
        <v>12</v>
      </c>
      <c r="K12" s="1040"/>
      <c r="L12" s="1040"/>
      <c r="M12" s="1133"/>
    </row>
    <row r="13" spans="1:13" ht="15" customHeight="1" x14ac:dyDescent="0.2">
      <c r="A13" s="1031"/>
      <c r="B13" s="1126" t="s">
        <v>821</v>
      </c>
      <c r="C13" s="1127"/>
      <c r="D13" s="731">
        <f t="shared" ref="D13:J13" si="0">SUM(D8:D12)</f>
        <v>1973</v>
      </c>
      <c r="E13" s="732">
        <f t="shared" si="0"/>
        <v>12661051.437899994</v>
      </c>
      <c r="F13" s="732">
        <f t="shared" si="0"/>
        <v>9625253.4199999981</v>
      </c>
      <c r="G13" s="732">
        <f t="shared" si="0"/>
        <v>9710369.4399999976</v>
      </c>
      <c r="H13" s="732">
        <f t="shared" si="0"/>
        <v>9710369.4399999976</v>
      </c>
      <c r="I13" s="731">
        <f t="shared" si="0"/>
        <v>1700</v>
      </c>
      <c r="J13" s="731">
        <f t="shared" si="0"/>
        <v>66</v>
      </c>
      <c r="K13" s="1040"/>
      <c r="L13" s="1040"/>
      <c r="M13" s="1133"/>
    </row>
    <row r="14" spans="1:13" ht="15" customHeight="1" x14ac:dyDescent="0.2">
      <c r="A14" s="1031"/>
      <c r="B14" s="1129" t="s">
        <v>851</v>
      </c>
      <c r="C14" s="641">
        <v>2017</v>
      </c>
      <c r="D14" s="730">
        <v>240</v>
      </c>
      <c r="E14" s="638">
        <v>1089608.5344999998</v>
      </c>
      <c r="F14" s="638">
        <v>652495.60000000009</v>
      </c>
      <c r="G14" s="698">
        <v>668382.78</v>
      </c>
      <c r="H14" s="698">
        <v>668382.78</v>
      </c>
      <c r="I14" s="730">
        <v>175</v>
      </c>
      <c r="J14" s="730">
        <v>3</v>
      </c>
      <c r="K14" s="1040"/>
      <c r="L14" s="1040"/>
      <c r="M14" s="1133"/>
    </row>
    <row r="15" spans="1:13" ht="15" customHeight="1" x14ac:dyDescent="0.2">
      <c r="A15" s="1031"/>
      <c r="B15" s="1129"/>
      <c r="C15" s="641">
        <v>2018</v>
      </c>
      <c r="D15" s="730">
        <v>183</v>
      </c>
      <c r="E15" s="638">
        <v>935974.37739999965</v>
      </c>
      <c r="F15" s="638">
        <v>585569.09999999986</v>
      </c>
      <c r="G15" s="698">
        <v>602213.12</v>
      </c>
      <c r="H15" s="698">
        <v>602213.12</v>
      </c>
      <c r="I15" s="730">
        <v>150</v>
      </c>
      <c r="J15" s="730">
        <v>10</v>
      </c>
      <c r="K15" s="1040"/>
      <c r="L15" s="1040"/>
      <c r="M15" s="1133"/>
    </row>
    <row r="16" spans="1:13" ht="15" customHeight="1" x14ac:dyDescent="0.2">
      <c r="A16" s="1031"/>
      <c r="B16" s="1129"/>
      <c r="C16" s="641">
        <v>2019</v>
      </c>
      <c r="D16" s="730">
        <v>166</v>
      </c>
      <c r="E16" s="638">
        <v>922999.32350000052</v>
      </c>
      <c r="F16" s="638">
        <v>672826.65999999992</v>
      </c>
      <c r="G16" s="698">
        <v>659944.85000000009</v>
      </c>
      <c r="H16" s="698">
        <v>659944.85000000009</v>
      </c>
      <c r="I16" s="730">
        <v>144</v>
      </c>
      <c r="J16" s="730">
        <v>4</v>
      </c>
      <c r="K16" s="1040"/>
      <c r="L16" s="1040"/>
      <c r="M16" s="1133"/>
    </row>
    <row r="17" spans="1:13" ht="15" customHeight="1" x14ac:dyDescent="0.2">
      <c r="A17" s="1031"/>
      <c r="B17" s="1129"/>
      <c r="C17" s="641">
        <v>2020</v>
      </c>
      <c r="D17" s="730">
        <v>155</v>
      </c>
      <c r="E17" s="638">
        <v>893040.96899999981</v>
      </c>
      <c r="F17" s="638">
        <v>634687.06000000006</v>
      </c>
      <c r="G17" s="698">
        <v>675575.2095</v>
      </c>
      <c r="H17" s="698">
        <v>675575.2095</v>
      </c>
      <c r="I17" s="730">
        <v>139</v>
      </c>
      <c r="J17" s="730">
        <v>2</v>
      </c>
      <c r="K17" s="1040"/>
      <c r="L17" s="1040"/>
      <c r="M17" s="1133"/>
    </row>
    <row r="18" spans="1:13" ht="15" customHeight="1" x14ac:dyDescent="0.2">
      <c r="A18" s="1031"/>
      <c r="B18" s="1129"/>
      <c r="C18" s="641">
        <v>2021</v>
      </c>
      <c r="D18" s="730">
        <v>139</v>
      </c>
      <c r="E18" s="638">
        <v>794644.28000000038</v>
      </c>
      <c r="F18" s="638">
        <v>652873.03000000026</v>
      </c>
      <c r="G18" s="698">
        <v>673290.90000000026</v>
      </c>
      <c r="H18" s="698">
        <v>673290.90000000026</v>
      </c>
      <c r="I18" s="730">
        <v>135</v>
      </c>
      <c r="J18" s="730">
        <v>2</v>
      </c>
      <c r="K18" s="1040"/>
      <c r="L18" s="1040"/>
      <c r="M18" s="1133"/>
    </row>
    <row r="19" spans="1:13" ht="15" customHeight="1" x14ac:dyDescent="0.2">
      <c r="A19" s="1031"/>
      <c r="B19" s="1126" t="s">
        <v>852</v>
      </c>
      <c r="C19" s="1127"/>
      <c r="D19" s="731">
        <f t="shared" ref="D19:J19" si="1">SUM(D14:D18)</f>
        <v>883</v>
      </c>
      <c r="E19" s="732">
        <f t="shared" si="1"/>
        <v>4636267.4844000004</v>
      </c>
      <c r="F19" s="732">
        <f t="shared" si="1"/>
        <v>3198451.45</v>
      </c>
      <c r="G19" s="732">
        <f t="shared" si="1"/>
        <v>3279406.8595000003</v>
      </c>
      <c r="H19" s="732">
        <f t="shared" si="1"/>
        <v>3279406.8595000003</v>
      </c>
      <c r="I19" s="731">
        <f t="shared" si="1"/>
        <v>743</v>
      </c>
      <c r="J19" s="731">
        <f t="shared" si="1"/>
        <v>21</v>
      </c>
      <c r="K19" s="1040"/>
      <c r="L19" s="1040"/>
      <c r="M19" s="1133"/>
    </row>
    <row r="20" spans="1:13" ht="15" customHeight="1" x14ac:dyDescent="0.2">
      <c r="A20" s="1031"/>
      <c r="B20" s="1128" t="s">
        <v>853</v>
      </c>
      <c r="C20" s="642">
        <v>2018</v>
      </c>
      <c r="D20" s="730">
        <v>847</v>
      </c>
      <c r="E20" s="638">
        <v>7675927.7008999977</v>
      </c>
      <c r="F20" s="638">
        <v>6209953.8799999943</v>
      </c>
      <c r="G20" s="698">
        <v>6251621.6799999932</v>
      </c>
      <c r="H20" s="698">
        <v>6251621.6799999932</v>
      </c>
      <c r="I20" s="730">
        <v>751</v>
      </c>
      <c r="J20" s="730">
        <v>9</v>
      </c>
      <c r="K20" s="1040"/>
      <c r="L20" s="1040"/>
      <c r="M20" s="1133"/>
    </row>
    <row r="21" spans="1:13" ht="15" customHeight="1" x14ac:dyDescent="0.2">
      <c r="A21" s="1031"/>
      <c r="B21" s="1128"/>
      <c r="C21" s="642">
        <v>2019</v>
      </c>
      <c r="D21" s="730">
        <v>741</v>
      </c>
      <c r="E21" s="638">
        <v>7713367.3127000006</v>
      </c>
      <c r="F21" s="638">
        <v>6719301.6899999985</v>
      </c>
      <c r="G21" s="698">
        <v>6761843.120000001</v>
      </c>
      <c r="H21" s="698">
        <v>6761843.120000001</v>
      </c>
      <c r="I21" s="730">
        <v>699</v>
      </c>
      <c r="J21" s="730">
        <v>10</v>
      </c>
      <c r="K21" s="1040"/>
      <c r="L21" s="1040"/>
      <c r="M21" s="1133"/>
    </row>
    <row r="22" spans="1:13" ht="15" customHeight="1" x14ac:dyDescent="0.2">
      <c r="A22" s="1031"/>
      <c r="B22" s="1128"/>
      <c r="C22" s="642">
        <v>2020</v>
      </c>
      <c r="D22" s="730">
        <v>713</v>
      </c>
      <c r="E22" s="638">
        <v>7915677.5379999997</v>
      </c>
      <c r="F22" s="638">
        <v>6344882.5900000026</v>
      </c>
      <c r="G22" s="698">
        <v>6678607.4335000059</v>
      </c>
      <c r="H22" s="698">
        <v>6678607.4335000059</v>
      </c>
      <c r="I22" s="730">
        <v>678</v>
      </c>
      <c r="J22" s="730">
        <v>11</v>
      </c>
      <c r="K22" s="1040"/>
      <c r="L22" s="1040"/>
      <c r="M22" s="1133"/>
    </row>
    <row r="23" spans="1:13" ht="15" customHeight="1" x14ac:dyDescent="0.2">
      <c r="A23" s="1031"/>
      <c r="B23" s="1128"/>
      <c r="C23" s="642">
        <v>2021</v>
      </c>
      <c r="D23" s="730">
        <v>688</v>
      </c>
      <c r="E23" s="638">
        <v>7539201.7600000026</v>
      </c>
      <c r="F23" s="638">
        <v>6688282.1300000008</v>
      </c>
      <c r="G23" s="698">
        <v>6794867.7300000014</v>
      </c>
      <c r="H23" s="698">
        <v>6794867.7300000014</v>
      </c>
      <c r="I23" s="730">
        <v>674</v>
      </c>
      <c r="J23" s="730">
        <v>7</v>
      </c>
      <c r="K23" s="1040"/>
      <c r="L23" s="1040"/>
      <c r="M23" s="1133"/>
    </row>
    <row r="24" spans="1:13" ht="15" customHeight="1" x14ac:dyDescent="0.2">
      <c r="A24" s="1031"/>
      <c r="B24" s="1128"/>
      <c r="C24" s="642">
        <v>2022</v>
      </c>
      <c r="D24" s="730">
        <v>674</v>
      </c>
      <c r="E24" s="638">
        <v>7485879.0599999968</v>
      </c>
      <c r="F24" s="638">
        <v>6656967.4800000023</v>
      </c>
      <c r="G24" s="698">
        <v>6676282.0900000026</v>
      </c>
      <c r="H24" s="698">
        <v>6676282.0900000026</v>
      </c>
      <c r="I24" s="730">
        <v>654</v>
      </c>
      <c r="J24" s="730">
        <v>15</v>
      </c>
      <c r="K24" s="1040"/>
      <c r="L24" s="1040"/>
      <c r="M24" s="1133"/>
    </row>
    <row r="25" spans="1:13" ht="15" customHeight="1" x14ac:dyDescent="0.2">
      <c r="A25" s="1031"/>
      <c r="B25" s="1126" t="s">
        <v>854</v>
      </c>
      <c r="C25" s="1127"/>
      <c r="D25" s="731">
        <f t="shared" ref="D25:J25" si="2">SUM(D20:D24)</f>
        <v>3663</v>
      </c>
      <c r="E25" s="732">
        <f t="shared" si="2"/>
        <v>38330053.371599995</v>
      </c>
      <c r="F25" s="732">
        <f t="shared" si="2"/>
        <v>32619387.770000003</v>
      </c>
      <c r="G25" s="732">
        <f t="shared" si="2"/>
        <v>33163222.053500004</v>
      </c>
      <c r="H25" s="732">
        <f t="shared" si="2"/>
        <v>33163222.053500004</v>
      </c>
      <c r="I25" s="731">
        <f t="shared" si="2"/>
        <v>3456</v>
      </c>
      <c r="J25" s="731">
        <f t="shared" si="2"/>
        <v>52</v>
      </c>
      <c r="K25" s="1040"/>
      <c r="L25" s="1040"/>
      <c r="M25" s="1133"/>
    </row>
    <row r="26" spans="1:13" ht="15" customHeight="1" x14ac:dyDescent="0.2">
      <c r="A26" s="1031"/>
      <c r="B26" s="1129" t="s">
        <v>855</v>
      </c>
      <c r="C26" s="641">
        <v>2019</v>
      </c>
      <c r="D26" s="730">
        <v>385</v>
      </c>
      <c r="E26" s="638">
        <v>2958143.6958999997</v>
      </c>
      <c r="F26" s="638">
        <v>2401889.5299999998</v>
      </c>
      <c r="G26" s="698">
        <v>2436542.4499999997</v>
      </c>
      <c r="H26" s="698">
        <v>2436542.4499999997</v>
      </c>
      <c r="I26" s="730">
        <v>344</v>
      </c>
      <c r="J26" s="730">
        <v>6</v>
      </c>
      <c r="K26" s="1040"/>
      <c r="L26" s="1040"/>
      <c r="M26" s="1133"/>
    </row>
    <row r="27" spans="1:13" ht="15" customHeight="1" x14ac:dyDescent="0.2">
      <c r="A27" s="1031"/>
      <c r="B27" s="1129"/>
      <c r="C27" s="641">
        <v>2020</v>
      </c>
      <c r="D27" s="730">
        <v>324</v>
      </c>
      <c r="E27" s="638">
        <v>2940694.2845000033</v>
      </c>
      <c r="F27" s="638">
        <v>2296090.5600000005</v>
      </c>
      <c r="G27" s="698">
        <v>2434930.3695000005</v>
      </c>
      <c r="H27" s="698">
        <v>2434930.3695000005</v>
      </c>
      <c r="I27" s="730">
        <v>310</v>
      </c>
      <c r="J27" s="730">
        <v>5</v>
      </c>
      <c r="K27" s="1040"/>
      <c r="L27" s="1040"/>
      <c r="M27" s="1133"/>
    </row>
    <row r="28" spans="1:13" ht="15" customHeight="1" x14ac:dyDescent="0.2">
      <c r="A28" s="1031"/>
      <c r="B28" s="1129"/>
      <c r="C28" s="641">
        <v>2021</v>
      </c>
      <c r="D28" s="730">
        <v>304</v>
      </c>
      <c r="E28" s="638">
        <v>2723305.2499999977</v>
      </c>
      <c r="F28" s="638">
        <v>2328924.8899999978</v>
      </c>
      <c r="G28" s="698">
        <v>2361414.0399999982</v>
      </c>
      <c r="H28" s="698">
        <v>2361414.0399999982</v>
      </c>
      <c r="I28" s="730">
        <v>299</v>
      </c>
      <c r="J28" s="730">
        <v>3</v>
      </c>
      <c r="K28" s="1040"/>
      <c r="L28" s="1040"/>
      <c r="M28" s="1133"/>
    </row>
    <row r="29" spans="1:13" ht="15" customHeight="1" x14ac:dyDescent="0.2">
      <c r="A29" s="1031"/>
      <c r="B29" s="1129"/>
      <c r="C29" s="641">
        <v>2022</v>
      </c>
      <c r="D29" s="730">
        <v>300</v>
      </c>
      <c r="E29" s="638">
        <v>2650865.2399999993</v>
      </c>
      <c r="F29" s="638">
        <v>2240277.2699999986</v>
      </c>
      <c r="G29" s="698">
        <v>2248636.5099999988</v>
      </c>
      <c r="H29" s="698">
        <v>2248636.5099999988</v>
      </c>
      <c r="I29" s="730">
        <v>290</v>
      </c>
      <c r="J29" s="730">
        <v>8</v>
      </c>
      <c r="K29" s="1040"/>
      <c r="L29" s="1040"/>
      <c r="M29" s="1133"/>
    </row>
    <row r="30" spans="1:13" ht="15" customHeight="1" x14ac:dyDescent="0.2">
      <c r="A30" s="1031"/>
      <c r="B30" s="1126" t="s">
        <v>856</v>
      </c>
      <c r="C30" s="1127"/>
      <c r="D30" s="731">
        <f t="shared" ref="D30:J30" si="3">SUM(D26:D29)</f>
        <v>1313</v>
      </c>
      <c r="E30" s="732">
        <f t="shared" si="3"/>
        <v>11273008.470400002</v>
      </c>
      <c r="F30" s="732">
        <f t="shared" si="3"/>
        <v>9267182.2499999963</v>
      </c>
      <c r="G30" s="732">
        <f t="shared" si="3"/>
        <v>9481523.3694999963</v>
      </c>
      <c r="H30" s="732">
        <f t="shared" si="3"/>
        <v>9481523.3694999963</v>
      </c>
      <c r="I30" s="731">
        <f t="shared" si="3"/>
        <v>1243</v>
      </c>
      <c r="J30" s="731">
        <f t="shared" si="3"/>
        <v>22</v>
      </c>
      <c r="K30" s="1040"/>
      <c r="L30" s="1040"/>
      <c r="M30" s="1133"/>
    </row>
    <row r="31" spans="1:13" ht="15" customHeight="1" x14ac:dyDescent="0.2">
      <c r="A31" s="1031"/>
      <c r="B31" s="1129" t="s">
        <v>857</v>
      </c>
      <c r="C31" s="641">
        <v>2020</v>
      </c>
      <c r="D31" s="730">
        <v>400</v>
      </c>
      <c r="E31" s="638">
        <v>3502442.9725999981</v>
      </c>
      <c r="F31" s="638">
        <v>2700635.5800000015</v>
      </c>
      <c r="G31" s="698">
        <v>2907223.7355000009</v>
      </c>
      <c r="H31" s="698">
        <v>2907223.7355000009</v>
      </c>
      <c r="I31" s="730">
        <v>356</v>
      </c>
      <c r="J31" s="730">
        <v>3</v>
      </c>
      <c r="K31" s="1040"/>
      <c r="L31" s="1040"/>
      <c r="M31" s="1133"/>
    </row>
    <row r="32" spans="1:13" ht="15" customHeight="1" x14ac:dyDescent="0.2">
      <c r="A32" s="1031"/>
      <c r="B32" s="1129"/>
      <c r="C32" s="641">
        <v>2021</v>
      </c>
      <c r="D32" s="730">
        <v>333</v>
      </c>
      <c r="E32" s="638">
        <v>3118728.9</v>
      </c>
      <c r="F32" s="638">
        <v>2740082.299999998</v>
      </c>
      <c r="G32" s="698">
        <v>2775877.9999999981</v>
      </c>
      <c r="H32" s="698">
        <v>2775877.9999999981</v>
      </c>
      <c r="I32" s="730">
        <v>319</v>
      </c>
      <c r="J32" s="730">
        <v>4</v>
      </c>
      <c r="K32" s="1040"/>
      <c r="L32" s="1040"/>
      <c r="M32" s="1133"/>
    </row>
    <row r="33" spans="1:18" ht="15" customHeight="1" x14ac:dyDescent="0.2">
      <c r="A33" s="1031"/>
      <c r="B33" s="1129"/>
      <c r="C33" s="641">
        <v>2022</v>
      </c>
      <c r="D33" s="730">
        <v>317</v>
      </c>
      <c r="E33" s="638">
        <v>3157841.5500000026</v>
      </c>
      <c r="F33" s="638">
        <v>2859520.7899999991</v>
      </c>
      <c r="G33" s="698">
        <v>2885163.3199999994</v>
      </c>
      <c r="H33" s="698">
        <v>2885163.3199999994</v>
      </c>
      <c r="I33" s="730">
        <v>309</v>
      </c>
      <c r="J33" s="730">
        <v>6</v>
      </c>
      <c r="K33" s="1040"/>
      <c r="L33" s="1040"/>
      <c r="M33" s="1133"/>
    </row>
    <row r="34" spans="1:18" ht="15" customHeight="1" x14ac:dyDescent="0.2">
      <c r="A34" s="1031"/>
      <c r="B34" s="1126" t="s">
        <v>858</v>
      </c>
      <c r="C34" s="1127"/>
      <c r="D34" s="731">
        <f t="shared" ref="D34:J34" si="4">SUM(D31:D33)</f>
        <v>1050</v>
      </c>
      <c r="E34" s="732">
        <f t="shared" si="4"/>
        <v>9779013.4226000011</v>
      </c>
      <c r="F34" s="732">
        <f t="shared" si="4"/>
        <v>8300238.6699999981</v>
      </c>
      <c r="G34" s="732">
        <f t="shared" si="4"/>
        <v>8568265.055499997</v>
      </c>
      <c r="H34" s="732">
        <f t="shared" si="4"/>
        <v>8568265.055499997</v>
      </c>
      <c r="I34" s="731">
        <f t="shared" si="4"/>
        <v>984</v>
      </c>
      <c r="J34" s="731">
        <f t="shared" si="4"/>
        <v>13</v>
      </c>
      <c r="K34" s="1040"/>
      <c r="L34" s="1040"/>
      <c r="M34" s="1133"/>
    </row>
    <row r="35" spans="1:18" ht="15" customHeight="1" x14ac:dyDescent="0.2">
      <c r="A35" s="1031"/>
      <c r="B35" s="1066" t="s">
        <v>859</v>
      </c>
      <c r="C35" s="641">
        <v>2021</v>
      </c>
      <c r="D35" s="730">
        <v>513</v>
      </c>
      <c r="E35" s="638">
        <v>3663802.9300000048</v>
      </c>
      <c r="F35" s="638">
        <v>3322888.110000005</v>
      </c>
      <c r="G35" s="698">
        <v>3393348.7800000049</v>
      </c>
      <c r="H35" s="698">
        <v>3393348.7800000049</v>
      </c>
      <c r="I35" s="730">
        <v>507</v>
      </c>
      <c r="J35" s="730">
        <v>1</v>
      </c>
      <c r="K35" s="1040"/>
      <c r="L35" s="1040"/>
      <c r="M35" s="1133"/>
    </row>
    <row r="36" spans="1:18" ht="15" customHeight="1" x14ac:dyDescent="0.2">
      <c r="A36" s="1031"/>
      <c r="B36" s="1067"/>
      <c r="C36" s="641">
        <v>2022</v>
      </c>
      <c r="D36" s="730">
        <v>488</v>
      </c>
      <c r="E36" s="638">
        <v>3698365.6199999996</v>
      </c>
      <c r="F36" s="638">
        <v>3398057.2199999997</v>
      </c>
      <c r="G36" s="698">
        <v>3430343.3699999992</v>
      </c>
      <c r="H36" s="698">
        <v>3430343.3699999992</v>
      </c>
      <c r="I36" s="730">
        <v>477</v>
      </c>
      <c r="J36" s="730">
        <v>3</v>
      </c>
      <c r="K36" s="1040"/>
      <c r="L36" s="1040"/>
      <c r="M36" s="1133"/>
    </row>
    <row r="37" spans="1:18" ht="15" customHeight="1" x14ac:dyDescent="0.2">
      <c r="A37" s="1031"/>
      <c r="B37" s="1126" t="s">
        <v>823</v>
      </c>
      <c r="C37" s="1127"/>
      <c r="D37" s="731">
        <f t="shared" ref="D37:J37" si="5">SUM(D35:D36)</f>
        <v>1001</v>
      </c>
      <c r="E37" s="732">
        <f t="shared" si="5"/>
        <v>7362168.5500000045</v>
      </c>
      <c r="F37" s="732">
        <f t="shared" si="5"/>
        <v>6720945.3300000047</v>
      </c>
      <c r="G37" s="732">
        <f t="shared" si="5"/>
        <v>6823692.1500000041</v>
      </c>
      <c r="H37" s="732">
        <f t="shared" si="5"/>
        <v>6823692.1500000041</v>
      </c>
      <c r="I37" s="731">
        <f t="shared" si="5"/>
        <v>984</v>
      </c>
      <c r="J37" s="731">
        <f t="shared" si="5"/>
        <v>4</v>
      </c>
      <c r="K37" s="1040"/>
      <c r="L37" s="1040"/>
      <c r="M37" s="1133"/>
    </row>
    <row r="38" spans="1:18" ht="25.5" customHeight="1" x14ac:dyDescent="0.2">
      <c r="A38" s="1031"/>
      <c r="B38" s="729" t="s">
        <v>860</v>
      </c>
      <c r="C38" s="641">
        <v>2022</v>
      </c>
      <c r="D38" s="730">
        <v>476</v>
      </c>
      <c r="E38" s="638">
        <v>3822903.4100000029</v>
      </c>
      <c r="F38" s="638">
        <v>3363063.8599999994</v>
      </c>
      <c r="G38" s="698">
        <v>3521475.2</v>
      </c>
      <c r="H38" s="698">
        <v>3521475.2</v>
      </c>
      <c r="I38" s="730">
        <v>469</v>
      </c>
      <c r="J38" s="730">
        <v>2</v>
      </c>
      <c r="K38" s="1040"/>
      <c r="L38" s="1040"/>
      <c r="M38" s="1133"/>
    </row>
    <row r="39" spans="1:18" ht="15" customHeight="1" x14ac:dyDescent="0.2">
      <c r="A39" s="1032"/>
      <c r="B39" s="1126" t="s">
        <v>861</v>
      </c>
      <c r="C39" s="1127"/>
      <c r="D39" s="731">
        <f t="shared" ref="D39:J39" si="6">SUM(D38:D38)</f>
        <v>476</v>
      </c>
      <c r="E39" s="732">
        <f t="shared" si="6"/>
        <v>3822903.4100000029</v>
      </c>
      <c r="F39" s="732">
        <f t="shared" si="6"/>
        <v>3363063.8599999994</v>
      </c>
      <c r="G39" s="732">
        <f t="shared" si="6"/>
        <v>3521475.2</v>
      </c>
      <c r="H39" s="732">
        <f t="shared" si="6"/>
        <v>3521475.2</v>
      </c>
      <c r="I39" s="731">
        <f t="shared" si="6"/>
        <v>469</v>
      </c>
      <c r="J39" s="731">
        <f t="shared" si="6"/>
        <v>2</v>
      </c>
      <c r="K39" s="1041"/>
      <c r="L39" s="1041"/>
      <c r="M39" s="1134"/>
    </row>
    <row r="40" spans="1:18" ht="15.75" customHeight="1" x14ac:dyDescent="0.2">
      <c r="A40" s="1110" t="s">
        <v>846</v>
      </c>
      <c r="B40" s="1111"/>
      <c r="C40" s="1112"/>
      <c r="D40" s="717">
        <f t="shared" ref="D40:J40" si="7">+D39+D37+D34+D30+D25+D19+D13</f>
        <v>10359</v>
      </c>
      <c r="E40" s="718">
        <f t="shared" si="7"/>
        <v>87864466.146899998</v>
      </c>
      <c r="F40" s="718">
        <f t="shared" si="7"/>
        <v>73094522.75</v>
      </c>
      <c r="G40" s="718">
        <f t="shared" si="7"/>
        <v>74547954.127999991</v>
      </c>
      <c r="H40" s="718">
        <f t="shared" si="7"/>
        <v>74547954.127999991</v>
      </c>
      <c r="I40" s="717">
        <f t="shared" si="7"/>
        <v>9579</v>
      </c>
      <c r="J40" s="717">
        <f t="shared" si="7"/>
        <v>180</v>
      </c>
      <c r="K40" s="733">
        <f>+K6</f>
        <v>95763564.626666695</v>
      </c>
      <c r="L40" s="733">
        <f>+L6</f>
        <v>22333621.170000002</v>
      </c>
      <c r="M40" s="734">
        <f>+L40/K40</f>
        <v>0.23321626818161376</v>
      </c>
    </row>
    <row r="42" spans="1:18" s="685" customFormat="1" ht="87.75" customHeight="1" x14ac:dyDescent="0.25">
      <c r="A42" s="1113" t="s">
        <v>862</v>
      </c>
      <c r="B42" s="1113"/>
      <c r="C42" s="1113"/>
      <c r="D42" s="1113"/>
      <c r="E42" s="1113"/>
      <c r="F42" s="1113"/>
      <c r="G42" s="1113"/>
      <c r="H42" s="1113"/>
      <c r="I42" s="1113"/>
      <c r="J42" s="1113"/>
      <c r="K42" s="1113"/>
      <c r="L42" s="1113"/>
      <c r="M42" s="1113"/>
      <c r="N42" s="721"/>
      <c r="O42" s="721"/>
      <c r="P42" s="721"/>
      <c r="Q42" s="721"/>
    </row>
    <row r="43" spans="1:18" ht="23.25" customHeight="1" x14ac:dyDescent="0.2">
      <c r="A43" s="686"/>
      <c r="B43" s="686"/>
      <c r="C43" s="686"/>
      <c r="D43" s="686"/>
      <c r="E43" s="686"/>
      <c r="F43" s="686"/>
      <c r="G43" s="686"/>
      <c r="H43" s="686"/>
      <c r="I43" s="686"/>
      <c r="J43" s="686"/>
      <c r="K43" s="686"/>
      <c r="L43" s="686"/>
      <c r="M43" s="686"/>
      <c r="N43" s="686"/>
      <c r="O43" s="686"/>
      <c r="P43" s="686"/>
      <c r="Q43" s="686"/>
      <c r="R43" s="686"/>
    </row>
    <row r="44" spans="1:18" ht="28.5" customHeight="1" x14ac:dyDescent="0.2">
      <c r="A44" s="1026" t="s">
        <v>805</v>
      </c>
      <c r="B44" s="1026"/>
      <c r="C44" s="1026"/>
      <c r="D44" s="1026"/>
      <c r="E44" s="1026"/>
      <c r="F44" s="1026"/>
      <c r="G44" s="1026"/>
      <c r="H44" s="1026"/>
      <c r="I44" s="1026"/>
      <c r="J44" s="1026"/>
      <c r="K44" s="1026"/>
      <c r="L44" s="1026"/>
      <c r="M44" s="1026"/>
      <c r="N44" s="723"/>
      <c r="O44" s="723"/>
      <c r="P44" s="723"/>
      <c r="Q44" s="723"/>
      <c r="R44" s="686"/>
    </row>
  </sheetData>
  <mergeCells count="28">
    <mergeCell ref="B35:B36"/>
    <mergeCell ref="B37:C37"/>
    <mergeCell ref="B39:C39"/>
    <mergeCell ref="A40:C40"/>
    <mergeCell ref="A42:M42"/>
    <mergeCell ref="A44:M44"/>
    <mergeCell ref="B20:B24"/>
    <mergeCell ref="B25:C25"/>
    <mergeCell ref="B26:B29"/>
    <mergeCell ref="B30:C30"/>
    <mergeCell ref="B31:B33"/>
    <mergeCell ref="B34:C34"/>
    <mergeCell ref="A6:A39"/>
    <mergeCell ref="B6:B7"/>
    <mergeCell ref="D6:J7"/>
    <mergeCell ref="K6:K39"/>
    <mergeCell ref="L6:L39"/>
    <mergeCell ref="M6:M39"/>
    <mergeCell ref="B8:B12"/>
    <mergeCell ref="B13:C13"/>
    <mergeCell ref="B14:B18"/>
    <mergeCell ref="B19:C19"/>
    <mergeCell ref="A1:M1"/>
    <mergeCell ref="A2:A4"/>
    <mergeCell ref="B2:B4"/>
    <mergeCell ref="C2:C4"/>
    <mergeCell ref="D2:J3"/>
    <mergeCell ref="K2:M3"/>
  </mergeCells>
  <printOptions horizontalCentered="1" verticalCentered="1"/>
  <pageMargins left="0.39370078740157483" right="0.39370078740157483" top="0.39370078740157483" bottom="0.39370078740157483" header="0.31496062992125984" footer="0.31496062992125984"/>
  <pageSetup paperSize="9" scale="54"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8688-1914-4418-A8A8-FF8D3E0BFF9B}">
  <sheetPr>
    <pageSetUpPr fitToPage="1"/>
  </sheetPr>
  <dimension ref="A1:S26"/>
  <sheetViews>
    <sheetView topLeftCell="H1" zoomScaleNormal="100" zoomScaleSheetLayoutView="70" workbookViewId="0">
      <selection activeCell="A6" sqref="A6:R39"/>
    </sheetView>
  </sheetViews>
  <sheetFormatPr defaultColWidth="32" defaultRowHeight="11.25" x14ac:dyDescent="0.2"/>
  <cols>
    <col min="1" max="1" width="14.28515625" style="5" customWidth="1"/>
    <col min="2" max="3" width="13.28515625" style="668" customWidth="1"/>
    <col min="4" max="4" width="16.140625" style="668" customWidth="1"/>
    <col min="5" max="5" width="12.140625" style="5" customWidth="1"/>
    <col min="6" max="6" width="9.7109375" style="5" customWidth="1"/>
    <col min="7" max="7" width="17.85546875" style="5" customWidth="1"/>
    <col min="8" max="8" width="13.42578125" style="5" customWidth="1"/>
    <col min="9" max="9" width="12.140625" style="5" customWidth="1"/>
    <col min="10" max="10" width="13" style="5" customWidth="1"/>
    <col min="11" max="11" width="13.5703125" style="5" customWidth="1"/>
    <col min="12" max="12" width="14.42578125" style="5" customWidth="1"/>
    <col min="13" max="14" width="12.28515625" style="5" customWidth="1"/>
    <col min="15" max="15" width="13.42578125" style="5" customWidth="1"/>
    <col min="16" max="16" width="13.42578125" style="669" customWidth="1"/>
    <col min="17" max="17" width="13.42578125" style="5" customWidth="1"/>
    <col min="18" max="18" width="11.7109375" style="5" customWidth="1"/>
    <col min="19" max="22" width="14.85546875" style="5" customWidth="1"/>
    <col min="23" max="16384" width="32" style="5"/>
  </cols>
  <sheetData>
    <row r="1" spans="1:19" ht="15.75" customHeight="1" x14ac:dyDescent="0.25">
      <c r="A1" s="1014" t="s">
        <v>863</v>
      </c>
      <c r="B1" s="1014"/>
      <c r="C1" s="1014"/>
      <c r="D1" s="1014"/>
      <c r="E1" s="1014"/>
      <c r="F1" s="1014"/>
      <c r="G1" s="1014"/>
      <c r="H1" s="1014"/>
      <c r="I1" s="1014"/>
      <c r="J1" s="1014"/>
      <c r="K1" s="1014"/>
      <c r="L1" s="1014"/>
      <c r="M1" s="1014"/>
      <c r="N1" s="1014"/>
      <c r="O1" s="1014"/>
      <c r="P1" s="1014"/>
    </row>
    <row r="2" spans="1:19" ht="11.25" customHeight="1" x14ac:dyDescent="0.2">
      <c r="A2" s="1012" t="s">
        <v>761</v>
      </c>
      <c r="B2" s="1016" t="s">
        <v>840</v>
      </c>
      <c r="C2" s="1017"/>
      <c r="D2" s="1012" t="s">
        <v>770</v>
      </c>
      <c r="E2" s="1012" t="s">
        <v>764</v>
      </c>
      <c r="F2" s="1020" t="s">
        <v>765</v>
      </c>
      <c r="G2" s="1020"/>
      <c r="H2" s="1056" t="s">
        <v>675</v>
      </c>
      <c r="I2" s="1052"/>
      <c r="J2" s="1052"/>
      <c r="K2" s="1052"/>
      <c r="L2" s="1052"/>
      <c r="M2" s="1052"/>
      <c r="N2" s="1053"/>
      <c r="O2" s="1020" t="s">
        <v>786</v>
      </c>
      <c r="P2" s="1020"/>
      <c r="Q2" s="1020"/>
      <c r="R2" s="1020"/>
    </row>
    <row r="3" spans="1:19" x14ac:dyDescent="0.2">
      <c r="A3" s="1015"/>
      <c r="B3" s="1114"/>
      <c r="C3" s="1115"/>
      <c r="D3" s="1015"/>
      <c r="E3" s="1015"/>
      <c r="F3" s="1020"/>
      <c r="G3" s="1020"/>
      <c r="H3" s="1057"/>
      <c r="I3" s="1054"/>
      <c r="J3" s="1054"/>
      <c r="K3" s="1054"/>
      <c r="L3" s="1054"/>
      <c r="M3" s="1054"/>
      <c r="N3" s="1055"/>
      <c r="O3" s="1020"/>
      <c r="P3" s="1020"/>
      <c r="Q3" s="1020"/>
      <c r="R3" s="1020"/>
    </row>
    <row r="4" spans="1:19" s="649" customFormat="1" ht="30" customHeight="1" x14ac:dyDescent="0.25">
      <c r="A4" s="1015"/>
      <c r="B4" s="1018"/>
      <c r="C4" s="1019"/>
      <c r="D4" s="1015"/>
      <c r="E4" s="1015"/>
      <c r="F4" s="1012" t="s">
        <v>769</v>
      </c>
      <c r="G4" s="1012" t="s">
        <v>842</v>
      </c>
      <c r="H4" s="1012" t="s">
        <v>790</v>
      </c>
      <c r="I4" s="1012" t="s">
        <v>791</v>
      </c>
      <c r="J4" s="1012" t="s">
        <v>843</v>
      </c>
      <c r="K4" s="1012" t="s">
        <v>793</v>
      </c>
      <c r="L4" s="1012" t="s">
        <v>794</v>
      </c>
      <c r="M4" s="1012" t="s">
        <v>795</v>
      </c>
      <c r="N4" s="1012" t="s">
        <v>796</v>
      </c>
      <c r="O4" s="1020" t="s">
        <v>797</v>
      </c>
      <c r="P4" s="1020"/>
      <c r="Q4" s="1020"/>
      <c r="R4" s="1020" t="s">
        <v>768</v>
      </c>
    </row>
    <row r="5" spans="1:19" s="649" customFormat="1" ht="22.5" x14ac:dyDescent="0.25">
      <c r="A5" s="1013"/>
      <c r="B5" s="670" t="s">
        <v>767</v>
      </c>
      <c r="C5" s="670" t="s">
        <v>768</v>
      </c>
      <c r="D5" s="1013"/>
      <c r="E5" s="1013"/>
      <c r="F5" s="1013"/>
      <c r="G5" s="1013"/>
      <c r="H5" s="1013"/>
      <c r="I5" s="1013"/>
      <c r="J5" s="1013"/>
      <c r="K5" s="1013"/>
      <c r="L5" s="1013"/>
      <c r="M5" s="1013"/>
      <c r="N5" s="1013"/>
      <c r="O5" s="648" t="s">
        <v>1</v>
      </c>
      <c r="P5" s="648" t="s">
        <v>2</v>
      </c>
      <c r="Q5" s="650" t="s">
        <v>774</v>
      </c>
      <c r="R5" s="1020"/>
    </row>
    <row r="6" spans="1:19" s="649" customFormat="1" x14ac:dyDescent="0.25">
      <c r="A6" s="651" t="s">
        <v>305</v>
      </c>
      <c r="B6" s="653" t="s">
        <v>306</v>
      </c>
      <c r="C6" s="653" t="s">
        <v>307</v>
      </c>
      <c r="D6" s="651" t="s">
        <v>308</v>
      </c>
      <c r="E6" s="653" t="s">
        <v>309</v>
      </c>
      <c r="F6" s="651" t="s">
        <v>517</v>
      </c>
      <c r="G6" s="653" t="s">
        <v>642</v>
      </c>
      <c r="H6" s="651" t="s">
        <v>310</v>
      </c>
      <c r="I6" s="651" t="s">
        <v>775</v>
      </c>
      <c r="J6" s="651" t="s">
        <v>518</v>
      </c>
      <c r="K6" s="653" t="s">
        <v>753</v>
      </c>
      <c r="L6" s="653" t="s">
        <v>741</v>
      </c>
      <c r="M6" s="653" t="s">
        <v>776</v>
      </c>
      <c r="N6" s="651" t="s">
        <v>755</v>
      </c>
      <c r="O6" s="653" t="s">
        <v>778</v>
      </c>
      <c r="P6" s="653" t="s">
        <v>757</v>
      </c>
      <c r="Q6" s="653" t="s">
        <v>844</v>
      </c>
      <c r="R6" s="653" t="s">
        <v>845</v>
      </c>
    </row>
    <row r="7" spans="1:19" ht="19.5" customHeight="1" x14ac:dyDescent="0.2">
      <c r="A7" s="1030" t="s">
        <v>864</v>
      </c>
      <c r="B7" s="1033">
        <v>374681267.08583301</v>
      </c>
      <c r="C7" s="1033">
        <v>187940623.21000001</v>
      </c>
      <c r="D7" s="1033">
        <f>+G18+K18</f>
        <v>390974646.88800001</v>
      </c>
      <c r="E7" s="641" t="s">
        <v>780</v>
      </c>
      <c r="F7" s="672">
        <v>853</v>
      </c>
      <c r="G7" s="665">
        <v>1546988.40999987</v>
      </c>
      <c r="H7" s="1069"/>
      <c r="I7" s="1069"/>
      <c r="J7" s="1069"/>
      <c r="K7" s="1069"/>
      <c r="L7" s="1069"/>
      <c r="M7" s="1069"/>
      <c r="N7" s="1069"/>
      <c r="O7" s="1039">
        <v>347376858.20583302</v>
      </c>
      <c r="P7" s="1039">
        <v>1546988.40999987</v>
      </c>
      <c r="Q7" s="1135">
        <f>+P7/O7</f>
        <v>4.4533433170819486E-3</v>
      </c>
      <c r="R7" s="1039">
        <v>167462319.55000001</v>
      </c>
      <c r="S7" s="426"/>
    </row>
    <row r="8" spans="1:19" ht="19.5" customHeight="1" x14ac:dyDescent="0.2">
      <c r="A8" s="1031"/>
      <c r="B8" s="1034"/>
      <c r="C8" s="1034"/>
      <c r="D8" s="1034"/>
      <c r="E8" s="641">
        <v>2015</v>
      </c>
      <c r="F8" s="1042"/>
      <c r="G8" s="1044"/>
      <c r="H8" s="676">
        <v>17695</v>
      </c>
      <c r="I8" s="386">
        <v>43422012.870399982</v>
      </c>
      <c r="J8" s="386">
        <v>40011047.850000031</v>
      </c>
      <c r="K8" s="386">
        <v>39874111.829999998</v>
      </c>
      <c r="L8" s="386">
        <v>39874111.829999998</v>
      </c>
      <c r="M8" s="676">
        <v>17217</v>
      </c>
      <c r="N8" s="676">
        <v>43</v>
      </c>
      <c r="O8" s="1040"/>
      <c r="P8" s="1040"/>
      <c r="Q8" s="1136"/>
      <c r="R8" s="1040"/>
      <c r="S8" s="426"/>
    </row>
    <row r="9" spans="1:19" ht="19.5" customHeight="1" x14ac:dyDescent="0.2">
      <c r="A9" s="1031"/>
      <c r="B9" s="1034"/>
      <c r="C9" s="1034"/>
      <c r="D9" s="1034"/>
      <c r="E9" s="641">
        <v>2016</v>
      </c>
      <c r="F9" s="1045"/>
      <c r="G9" s="1047"/>
      <c r="H9" s="676">
        <v>18770</v>
      </c>
      <c r="I9" s="386">
        <v>44232232.551299781</v>
      </c>
      <c r="J9" s="386">
        <v>40725191.719999813</v>
      </c>
      <c r="K9" s="386">
        <v>40789664.413499773</v>
      </c>
      <c r="L9" s="386">
        <v>40789664.413499773</v>
      </c>
      <c r="M9" s="676">
        <v>18232</v>
      </c>
      <c r="N9" s="676">
        <v>70</v>
      </c>
      <c r="O9" s="1040"/>
      <c r="P9" s="1040"/>
      <c r="Q9" s="1136"/>
      <c r="R9" s="1040"/>
      <c r="S9" s="426"/>
    </row>
    <row r="10" spans="1:19" ht="19.5" customHeight="1" x14ac:dyDescent="0.2">
      <c r="A10" s="1031"/>
      <c r="B10" s="1034"/>
      <c r="C10" s="1034"/>
      <c r="D10" s="1034"/>
      <c r="E10" s="641">
        <v>2017</v>
      </c>
      <c r="F10" s="1045"/>
      <c r="G10" s="1047"/>
      <c r="H10" s="676">
        <v>19828</v>
      </c>
      <c r="I10" s="386">
        <v>45354872.936400168</v>
      </c>
      <c r="J10" s="386">
        <v>40648425.739999905</v>
      </c>
      <c r="K10" s="386">
        <v>40633563.4799999</v>
      </c>
      <c r="L10" s="386">
        <v>40633563.4799999</v>
      </c>
      <c r="M10" s="676">
        <v>19064</v>
      </c>
      <c r="N10" s="676">
        <v>83</v>
      </c>
      <c r="O10" s="1040"/>
      <c r="P10" s="1040"/>
      <c r="Q10" s="1136"/>
      <c r="R10" s="1040"/>
      <c r="S10" s="426"/>
    </row>
    <row r="11" spans="1:19" ht="19.5" customHeight="1" x14ac:dyDescent="0.2">
      <c r="A11" s="1031"/>
      <c r="B11" s="1034"/>
      <c r="C11" s="1034"/>
      <c r="D11" s="1034"/>
      <c r="E11" s="641">
        <v>2018</v>
      </c>
      <c r="F11" s="1045"/>
      <c r="G11" s="1047"/>
      <c r="H11" s="676">
        <v>20360</v>
      </c>
      <c r="I11" s="386">
        <v>46759150.764100023</v>
      </c>
      <c r="J11" s="386">
        <v>43776140.440000065</v>
      </c>
      <c r="K11" s="386">
        <v>43959333.004499942</v>
      </c>
      <c r="L11" s="386">
        <v>43959333.004499942</v>
      </c>
      <c r="M11" s="676">
        <v>19975</v>
      </c>
      <c r="N11" s="676">
        <v>61</v>
      </c>
      <c r="O11" s="1040"/>
      <c r="P11" s="1040"/>
      <c r="Q11" s="1136"/>
      <c r="R11" s="1040"/>
    </row>
    <row r="12" spans="1:19" ht="19.5" customHeight="1" x14ac:dyDescent="0.2">
      <c r="A12" s="1031"/>
      <c r="B12" s="1034"/>
      <c r="C12" s="1034"/>
      <c r="D12" s="1034"/>
      <c r="E12" s="641">
        <v>2019</v>
      </c>
      <c r="F12" s="1045"/>
      <c r="G12" s="1047"/>
      <c r="H12" s="676">
        <v>20425</v>
      </c>
      <c r="I12" s="386">
        <v>47864767.081900179</v>
      </c>
      <c r="J12" s="386">
        <v>43998800.550000206</v>
      </c>
      <c r="K12" s="386">
        <v>43951575.650000215</v>
      </c>
      <c r="L12" s="386">
        <v>43951575.650000215</v>
      </c>
      <c r="M12" s="676">
        <v>20118</v>
      </c>
      <c r="N12" s="676">
        <v>28</v>
      </c>
      <c r="O12" s="1040"/>
      <c r="P12" s="1040"/>
      <c r="Q12" s="1136"/>
      <c r="R12" s="1040"/>
    </row>
    <row r="13" spans="1:19" ht="19.5" customHeight="1" x14ac:dyDescent="0.2">
      <c r="A13" s="1031"/>
      <c r="B13" s="1034"/>
      <c r="C13" s="1034"/>
      <c r="D13" s="1034"/>
      <c r="E13" s="641">
        <v>2020</v>
      </c>
      <c r="F13" s="1045"/>
      <c r="G13" s="1047"/>
      <c r="H13" s="676">
        <v>23617</v>
      </c>
      <c r="I13" s="386">
        <v>54206060.152900331</v>
      </c>
      <c r="J13" s="386">
        <v>49412612.2000001</v>
      </c>
      <c r="K13" s="386">
        <v>49132913.410000101</v>
      </c>
      <c r="L13" s="386">
        <v>49132913.410000101</v>
      </c>
      <c r="M13" s="676">
        <v>22832</v>
      </c>
      <c r="N13" s="676">
        <v>208</v>
      </c>
      <c r="O13" s="1040"/>
      <c r="P13" s="1040"/>
      <c r="Q13" s="1136"/>
      <c r="R13" s="1040"/>
    </row>
    <row r="14" spans="1:19" ht="19.5" customHeight="1" x14ac:dyDescent="0.2">
      <c r="A14" s="1031"/>
      <c r="B14" s="1034"/>
      <c r="C14" s="1034"/>
      <c r="D14" s="1034"/>
      <c r="E14" s="641">
        <v>2021</v>
      </c>
      <c r="F14" s="1045"/>
      <c r="G14" s="1047"/>
      <c r="H14" s="676">
        <v>23162</v>
      </c>
      <c r="I14" s="386">
        <v>43027231.350000106</v>
      </c>
      <c r="J14" s="386">
        <v>40682323.120000139</v>
      </c>
      <c r="K14" s="386">
        <v>40698117.930000164</v>
      </c>
      <c r="L14" s="386">
        <v>40698117.930000164</v>
      </c>
      <c r="M14" s="676">
        <v>22970</v>
      </c>
      <c r="N14" s="676">
        <v>67</v>
      </c>
      <c r="O14" s="1040"/>
      <c r="P14" s="1040"/>
      <c r="Q14" s="1136"/>
      <c r="R14" s="1040"/>
    </row>
    <row r="15" spans="1:19" ht="19.5" customHeight="1" x14ac:dyDescent="0.2">
      <c r="A15" s="1032"/>
      <c r="B15" s="1034"/>
      <c r="C15" s="1034"/>
      <c r="D15" s="1034"/>
      <c r="E15" s="735">
        <v>2022</v>
      </c>
      <c r="F15" s="1045"/>
      <c r="G15" s="1047"/>
      <c r="H15" s="676">
        <v>22595</v>
      </c>
      <c r="I15" s="386">
        <v>43049364.320000038</v>
      </c>
      <c r="J15" s="386">
        <v>40985565.640000075</v>
      </c>
      <c r="K15" s="386">
        <v>41027500.440000065</v>
      </c>
      <c r="L15" s="386">
        <v>41027500.440000065</v>
      </c>
      <c r="M15" s="676">
        <v>22423</v>
      </c>
      <c r="N15" s="676">
        <v>93</v>
      </c>
      <c r="O15" s="1040"/>
      <c r="P15" s="1040"/>
      <c r="Q15" s="1136"/>
      <c r="R15" s="1040"/>
    </row>
    <row r="16" spans="1:19" ht="19.5" customHeight="1" x14ac:dyDescent="0.2">
      <c r="A16" s="663" t="s">
        <v>627</v>
      </c>
      <c r="B16" s="1034"/>
      <c r="C16" s="1034"/>
      <c r="D16" s="1034"/>
      <c r="E16" s="735">
        <v>2024</v>
      </c>
      <c r="F16" s="1045"/>
      <c r="G16" s="1047"/>
      <c r="H16" s="676">
        <v>2836</v>
      </c>
      <c r="I16" s="386">
        <v>9330976.1899999697</v>
      </c>
      <c r="J16" s="386">
        <v>7218667.7299999902</v>
      </c>
      <c r="K16" s="386">
        <v>9360878.3199999649</v>
      </c>
      <c r="L16" s="386">
        <v>6189942.178499992</v>
      </c>
      <c r="M16" s="676">
        <v>2437</v>
      </c>
      <c r="N16" s="676">
        <v>394</v>
      </c>
      <c r="O16" s="1040"/>
      <c r="P16" s="1040"/>
      <c r="Q16" s="1136"/>
      <c r="R16" s="1040"/>
    </row>
    <row r="17" spans="1:18" ht="19.5" customHeight="1" x14ac:dyDescent="0.2">
      <c r="A17" s="663" t="s">
        <v>864</v>
      </c>
      <c r="B17" s="1035"/>
      <c r="C17" s="1035"/>
      <c r="D17" s="1035"/>
      <c r="E17" s="736">
        <v>2025</v>
      </c>
      <c r="F17" s="1048"/>
      <c r="G17" s="1050"/>
      <c r="H17" s="736"/>
      <c r="I17" s="737"/>
      <c r="J17" s="737"/>
      <c r="K17" s="737">
        <v>40000000</v>
      </c>
      <c r="L17" s="737"/>
      <c r="M17" s="737"/>
      <c r="N17" s="737"/>
      <c r="O17" s="1041"/>
      <c r="P17" s="1041"/>
      <c r="Q17" s="1137"/>
      <c r="R17" s="1041"/>
    </row>
    <row r="18" spans="1:18" ht="15.75" customHeight="1" x14ac:dyDescent="0.2">
      <c r="A18" s="679" t="s">
        <v>865</v>
      </c>
      <c r="B18" s="680">
        <f>+B7</f>
        <v>374681267.08583301</v>
      </c>
      <c r="C18" s="680">
        <f>+C7</f>
        <v>187940623.21000001</v>
      </c>
      <c r="D18" s="680">
        <f>+D7</f>
        <v>390974646.88800001</v>
      </c>
      <c r="E18" s="738"/>
      <c r="F18" s="664">
        <f>+F7</f>
        <v>853</v>
      </c>
      <c r="G18" s="682">
        <f>+G7</f>
        <v>1546988.40999987</v>
      </c>
      <c r="H18" s="664">
        <f>SUM(H8:H17)</f>
        <v>169288</v>
      </c>
      <c r="I18" s="682">
        <f t="shared" ref="I18:M18" si="0">SUM(I8:I17)</f>
        <v>377246668.2170006</v>
      </c>
      <c r="J18" s="682">
        <f t="shared" si="0"/>
        <v>347458774.99000037</v>
      </c>
      <c r="K18" s="682">
        <f t="shared" si="0"/>
        <v>389427658.47800016</v>
      </c>
      <c r="L18" s="682">
        <f t="shared" si="0"/>
        <v>346256722.33650017</v>
      </c>
      <c r="M18" s="664">
        <f t="shared" si="0"/>
        <v>165268</v>
      </c>
      <c r="N18" s="664">
        <f>SUM(N8:N17)</f>
        <v>1047</v>
      </c>
      <c r="O18" s="682">
        <f>SUM(O7)</f>
        <v>347376858.20583302</v>
      </c>
      <c r="P18" s="682">
        <f>SUM(P7)</f>
        <v>1546988.40999987</v>
      </c>
      <c r="Q18" s="728">
        <f>+P18/O18</f>
        <v>4.4533433170819486E-3</v>
      </c>
      <c r="R18" s="682">
        <f t="shared" ref="R18" si="1">SUM(R7)</f>
        <v>167462319.55000001</v>
      </c>
    </row>
    <row r="20" spans="1:18" ht="106.5" customHeight="1" x14ac:dyDescent="0.2">
      <c r="A20" s="1113" t="s">
        <v>866</v>
      </c>
      <c r="B20" s="1113"/>
      <c r="C20" s="1113"/>
      <c r="D20" s="1113"/>
      <c r="E20" s="1113"/>
      <c r="F20" s="1113"/>
      <c r="G20" s="1113"/>
      <c r="H20" s="1113"/>
      <c r="I20" s="1113"/>
      <c r="J20" s="1113"/>
      <c r="K20" s="1113"/>
      <c r="L20" s="1113"/>
      <c r="M20" s="1113"/>
      <c r="N20" s="1113"/>
      <c r="O20" s="1113"/>
      <c r="P20" s="1113"/>
      <c r="Q20" s="1113"/>
      <c r="R20" s="1113"/>
    </row>
    <row r="21" spans="1:18" ht="11.25" customHeight="1" x14ac:dyDescent="0.2">
      <c r="A21" s="1113"/>
      <c r="B21" s="1113"/>
      <c r="C21" s="1113"/>
      <c r="D21" s="1113"/>
      <c r="E21" s="1113"/>
      <c r="F21" s="1113"/>
      <c r="G21" s="1113"/>
      <c r="H21" s="1113"/>
      <c r="I21" s="1113"/>
      <c r="J21" s="1113"/>
      <c r="K21" s="1113"/>
      <c r="L21" s="1113"/>
      <c r="M21" s="1113"/>
      <c r="N21" s="1113"/>
      <c r="O21" s="1113"/>
      <c r="P21" s="1113"/>
      <c r="Q21" s="1113"/>
      <c r="R21" s="1113"/>
    </row>
    <row r="22" spans="1:18" ht="28.5" customHeight="1" x14ac:dyDescent="0.2">
      <c r="A22" s="1026" t="s">
        <v>805</v>
      </c>
      <c r="B22" s="1026"/>
      <c r="C22" s="1026"/>
      <c r="D22" s="1026"/>
      <c r="E22" s="1026"/>
      <c r="F22" s="1026"/>
      <c r="G22" s="1026"/>
      <c r="H22" s="1026"/>
      <c r="I22" s="1026"/>
      <c r="J22" s="1026"/>
      <c r="K22" s="1026"/>
      <c r="L22" s="1026"/>
      <c r="M22" s="1026"/>
      <c r="N22" s="1026"/>
      <c r="O22" s="1026"/>
      <c r="P22" s="1026"/>
      <c r="Q22" s="1026"/>
      <c r="R22" s="1026"/>
    </row>
    <row r="26" spans="1:18" x14ac:dyDescent="0.2">
      <c r="L26" s="426"/>
    </row>
  </sheetData>
  <mergeCells count="31">
    <mergeCell ref="A20:R21"/>
    <mergeCell ref="A22:R22"/>
    <mergeCell ref="O7:O17"/>
    <mergeCell ref="P7:P17"/>
    <mergeCell ref="J4:J5"/>
    <mergeCell ref="K4:K5"/>
    <mergeCell ref="L4:L5"/>
    <mergeCell ref="Q7:Q17"/>
    <mergeCell ref="R7:R17"/>
    <mergeCell ref="A7:A15"/>
    <mergeCell ref="B7:B17"/>
    <mergeCell ref="C7:C17"/>
    <mergeCell ref="D7:D17"/>
    <mergeCell ref="H7:N7"/>
    <mergeCell ref="F8:G17"/>
    <mergeCell ref="A1:P1"/>
    <mergeCell ref="A2:A5"/>
    <mergeCell ref="B2:C4"/>
    <mergeCell ref="D2:D5"/>
    <mergeCell ref="E2:E5"/>
    <mergeCell ref="F2:G3"/>
    <mergeCell ref="H2:N3"/>
    <mergeCell ref="O2:R3"/>
    <mergeCell ref="F4:F5"/>
    <mergeCell ref="G4:G5"/>
    <mergeCell ref="N4:N5"/>
    <mergeCell ref="O4:Q4"/>
    <mergeCell ref="R4:R5"/>
    <mergeCell ref="M4:M5"/>
    <mergeCell ref="H4:H5"/>
    <mergeCell ref="I4:I5"/>
  </mergeCells>
  <printOptions horizontalCentered="1" verticalCentered="1"/>
  <pageMargins left="0.39370078740157483" right="0.39370078740157483" top="0.39370078740157483" bottom="0.39370078740157483" header="0.31496062992125984" footer="0.31496062992125984"/>
  <pageSetup paperSize="9" scale="58"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C0581-BA2E-43BE-A526-5360EAA27480}">
  <sheetPr>
    <pageSetUpPr fitToPage="1"/>
  </sheetPr>
  <dimension ref="A1:R27"/>
  <sheetViews>
    <sheetView topLeftCell="D1" zoomScaleNormal="100" zoomScaleSheetLayoutView="100" workbookViewId="0">
      <selection activeCell="A6" sqref="A6:R39"/>
    </sheetView>
  </sheetViews>
  <sheetFormatPr defaultColWidth="32" defaultRowHeight="11.25" x14ac:dyDescent="0.2"/>
  <cols>
    <col min="1" max="1" width="10.42578125" style="5" customWidth="1"/>
    <col min="2" max="3" width="12.5703125" style="668" customWidth="1"/>
    <col min="4" max="4" width="14.5703125" style="668" customWidth="1"/>
    <col min="5" max="5" width="13.140625" style="5" customWidth="1"/>
    <col min="6" max="6" width="8.5703125" style="5" customWidth="1"/>
    <col min="7" max="7" width="17.28515625" style="5" bestFit="1" customWidth="1"/>
    <col min="8" max="10" width="12.85546875" style="5" customWidth="1"/>
    <col min="11" max="11" width="14" style="5" customWidth="1"/>
    <col min="12" max="12" width="13.28515625" style="5" customWidth="1"/>
    <col min="13" max="13" width="11.7109375" style="5" customWidth="1"/>
    <col min="14" max="14" width="11.42578125" style="5" customWidth="1"/>
    <col min="15" max="16" width="12.140625" style="5" customWidth="1"/>
    <col min="17" max="17" width="12.5703125" style="669" customWidth="1"/>
    <col min="18" max="18" width="14.5703125" style="5" customWidth="1"/>
    <col min="19" max="16384" width="32" style="5"/>
  </cols>
  <sheetData>
    <row r="1" spans="1:18" ht="15.75" customHeight="1" x14ac:dyDescent="0.25">
      <c r="A1" s="1014" t="s">
        <v>867</v>
      </c>
      <c r="B1" s="1014"/>
      <c r="C1" s="1014"/>
      <c r="D1" s="1014"/>
      <c r="E1" s="1014"/>
      <c r="F1" s="1014"/>
      <c r="G1" s="1014"/>
      <c r="H1" s="1014"/>
      <c r="I1" s="1014"/>
      <c r="J1" s="1014"/>
      <c r="K1" s="1014"/>
      <c r="L1" s="1014"/>
      <c r="M1" s="1014"/>
      <c r="N1" s="1014"/>
      <c r="O1" s="1014"/>
      <c r="P1" s="1014"/>
      <c r="Q1" s="1014"/>
    </row>
    <row r="2" spans="1:18" ht="21.75" customHeight="1" x14ac:dyDescent="0.2">
      <c r="A2" s="1012" t="s">
        <v>761</v>
      </c>
      <c r="B2" s="1016" t="s">
        <v>840</v>
      </c>
      <c r="C2" s="1017"/>
      <c r="D2" s="1012" t="s">
        <v>770</v>
      </c>
      <c r="E2" s="1012" t="s">
        <v>764</v>
      </c>
      <c r="F2" s="1020" t="s">
        <v>765</v>
      </c>
      <c r="G2" s="1020"/>
      <c r="H2" s="1056" t="s">
        <v>675</v>
      </c>
      <c r="I2" s="1052"/>
      <c r="J2" s="1052"/>
      <c r="K2" s="1052"/>
      <c r="L2" s="1052"/>
      <c r="M2" s="1052"/>
      <c r="N2" s="1053"/>
      <c r="O2" s="1020" t="s">
        <v>786</v>
      </c>
      <c r="P2" s="1020"/>
      <c r="Q2" s="1020"/>
      <c r="R2" s="1020"/>
    </row>
    <row r="3" spans="1:18" x14ac:dyDescent="0.2">
      <c r="A3" s="1015"/>
      <c r="B3" s="1114"/>
      <c r="C3" s="1115"/>
      <c r="D3" s="1015"/>
      <c r="E3" s="1015"/>
      <c r="F3" s="1020"/>
      <c r="G3" s="1020"/>
      <c r="H3" s="1057"/>
      <c r="I3" s="1054"/>
      <c r="J3" s="1054"/>
      <c r="K3" s="1054"/>
      <c r="L3" s="1054"/>
      <c r="M3" s="1054"/>
      <c r="N3" s="1055"/>
      <c r="O3" s="1020"/>
      <c r="P3" s="1020"/>
      <c r="Q3" s="1020"/>
      <c r="R3" s="1020"/>
    </row>
    <row r="4" spans="1:18" s="649" customFormat="1" ht="16.5" customHeight="1" x14ac:dyDescent="0.25">
      <c r="A4" s="1015"/>
      <c r="B4" s="1018"/>
      <c r="C4" s="1019"/>
      <c r="D4" s="1015"/>
      <c r="E4" s="1015"/>
      <c r="F4" s="1012" t="s">
        <v>769</v>
      </c>
      <c r="G4" s="1012" t="s">
        <v>842</v>
      </c>
      <c r="H4" s="1012" t="s">
        <v>790</v>
      </c>
      <c r="I4" s="1012" t="s">
        <v>791</v>
      </c>
      <c r="J4" s="1012" t="s">
        <v>843</v>
      </c>
      <c r="K4" s="1012" t="s">
        <v>793</v>
      </c>
      <c r="L4" s="1012" t="s">
        <v>794</v>
      </c>
      <c r="M4" s="1012" t="s">
        <v>795</v>
      </c>
      <c r="N4" s="1012" t="s">
        <v>796</v>
      </c>
      <c r="O4" s="1020" t="s">
        <v>797</v>
      </c>
      <c r="P4" s="1020"/>
      <c r="Q4" s="1020"/>
      <c r="R4" s="1020" t="s">
        <v>768</v>
      </c>
    </row>
    <row r="5" spans="1:18" s="649" customFormat="1" ht="31.5" customHeight="1" x14ac:dyDescent="0.25">
      <c r="A5" s="1013"/>
      <c r="B5" s="670" t="s">
        <v>767</v>
      </c>
      <c r="C5" s="670" t="s">
        <v>768</v>
      </c>
      <c r="D5" s="1013"/>
      <c r="E5" s="1013"/>
      <c r="F5" s="1013"/>
      <c r="G5" s="1013"/>
      <c r="H5" s="1013"/>
      <c r="I5" s="1013"/>
      <c r="J5" s="1013"/>
      <c r="K5" s="1013"/>
      <c r="L5" s="1013"/>
      <c r="M5" s="1013"/>
      <c r="N5" s="1013"/>
      <c r="O5" s="648" t="s">
        <v>1</v>
      </c>
      <c r="P5" s="648" t="s">
        <v>2</v>
      </c>
      <c r="Q5" s="650" t="s">
        <v>774</v>
      </c>
      <c r="R5" s="1020"/>
    </row>
    <row r="6" spans="1:18" s="649" customFormat="1" x14ac:dyDescent="0.25">
      <c r="A6" s="651" t="s">
        <v>305</v>
      </c>
      <c r="B6" s="653" t="s">
        <v>306</v>
      </c>
      <c r="C6" s="653" t="s">
        <v>307</v>
      </c>
      <c r="D6" s="651" t="s">
        <v>308</v>
      </c>
      <c r="E6" s="653" t="s">
        <v>309</v>
      </c>
      <c r="F6" s="651" t="s">
        <v>517</v>
      </c>
      <c r="G6" s="653" t="s">
        <v>642</v>
      </c>
      <c r="H6" s="651" t="s">
        <v>310</v>
      </c>
      <c r="I6" s="653" t="s">
        <v>775</v>
      </c>
      <c r="J6" s="653" t="s">
        <v>518</v>
      </c>
      <c r="K6" s="653" t="s">
        <v>753</v>
      </c>
      <c r="L6" s="651" t="s">
        <v>741</v>
      </c>
      <c r="M6" s="653" t="s">
        <v>776</v>
      </c>
      <c r="N6" s="653" t="s">
        <v>755</v>
      </c>
      <c r="O6" s="653" t="s">
        <v>778</v>
      </c>
      <c r="P6" s="653" t="s">
        <v>757</v>
      </c>
      <c r="Q6" s="653" t="s">
        <v>844</v>
      </c>
      <c r="R6" s="653" t="s">
        <v>845</v>
      </c>
    </row>
    <row r="7" spans="1:18" ht="16.5" customHeight="1" x14ac:dyDescent="0.2">
      <c r="A7" s="1030" t="s">
        <v>49</v>
      </c>
      <c r="B7" s="1116">
        <v>340347549.31428599</v>
      </c>
      <c r="C7" s="1116">
        <v>166202661</v>
      </c>
      <c r="D7" s="1116">
        <f>+G17+K17</f>
        <v>345949988.77099943</v>
      </c>
      <c r="E7" s="641" t="s">
        <v>780</v>
      </c>
      <c r="F7" s="674">
        <v>1247.4637555820282</v>
      </c>
      <c r="G7" s="665">
        <v>4161665.0664507523</v>
      </c>
      <c r="H7" s="1069"/>
      <c r="I7" s="1069"/>
      <c r="J7" s="1069"/>
      <c r="K7" s="1069"/>
      <c r="L7" s="1069"/>
      <c r="M7" s="1069"/>
      <c r="N7" s="1069"/>
      <c r="O7" s="1039">
        <v>321448246.50666702</v>
      </c>
      <c r="P7" s="1039">
        <v>32588366.609999999</v>
      </c>
      <c r="Q7" s="1132">
        <f>+P7/O7</f>
        <v>0.10137982385703914</v>
      </c>
      <c r="R7" s="1039">
        <v>154296100.22999999</v>
      </c>
    </row>
    <row r="8" spans="1:18" ht="15" customHeight="1" x14ac:dyDescent="0.2">
      <c r="A8" s="1031"/>
      <c r="B8" s="1117"/>
      <c r="C8" s="1117"/>
      <c r="D8" s="1117"/>
      <c r="E8" s="641">
        <v>2015</v>
      </c>
      <c r="F8" s="674">
        <v>8820</v>
      </c>
      <c r="G8" s="665">
        <v>28426701.543549247</v>
      </c>
      <c r="H8" s="1069"/>
      <c r="I8" s="1069"/>
      <c r="J8" s="1069"/>
      <c r="K8" s="1069"/>
      <c r="L8" s="1069"/>
      <c r="M8" s="1069"/>
      <c r="N8" s="1069"/>
      <c r="O8" s="1040"/>
      <c r="P8" s="1040"/>
      <c r="Q8" s="1133"/>
      <c r="R8" s="1040"/>
    </row>
    <row r="9" spans="1:18" ht="15" customHeight="1" x14ac:dyDescent="0.2">
      <c r="A9" s="1031"/>
      <c r="B9" s="1117"/>
      <c r="C9" s="1117"/>
      <c r="D9" s="1117"/>
      <c r="E9" s="641">
        <v>2016</v>
      </c>
      <c r="F9" s="1042"/>
      <c r="G9" s="1044"/>
      <c r="H9" s="660">
        <v>10290</v>
      </c>
      <c r="I9" s="655">
        <v>45429564.350000143</v>
      </c>
      <c r="J9" s="655">
        <v>29286033.089999907</v>
      </c>
      <c r="K9" s="655">
        <v>29138340.782499909</v>
      </c>
      <c r="L9" s="655">
        <v>29140495.382499911</v>
      </c>
      <c r="M9" s="676">
        <v>9953</v>
      </c>
      <c r="N9" s="676">
        <v>46</v>
      </c>
      <c r="O9" s="1040"/>
      <c r="P9" s="1040"/>
      <c r="Q9" s="1133"/>
      <c r="R9" s="1040"/>
    </row>
    <row r="10" spans="1:18" ht="15" customHeight="1" x14ac:dyDescent="0.2">
      <c r="A10" s="1031"/>
      <c r="B10" s="1117"/>
      <c r="C10" s="1117"/>
      <c r="D10" s="1117"/>
      <c r="E10" s="641">
        <v>2017</v>
      </c>
      <c r="F10" s="1045"/>
      <c r="G10" s="1047"/>
      <c r="H10" s="676">
        <v>10745</v>
      </c>
      <c r="I10" s="386">
        <v>47853783.049999788</v>
      </c>
      <c r="J10" s="386">
        <v>42161280.109999888</v>
      </c>
      <c r="K10" s="386">
        <v>42539179.93699985</v>
      </c>
      <c r="L10" s="386">
        <v>42539179.93699985</v>
      </c>
      <c r="M10" s="676">
        <v>10488</v>
      </c>
      <c r="N10" s="676">
        <v>43</v>
      </c>
      <c r="O10" s="1040"/>
      <c r="P10" s="1040"/>
      <c r="Q10" s="1133"/>
      <c r="R10" s="1040"/>
    </row>
    <row r="11" spans="1:18" ht="15" customHeight="1" x14ac:dyDescent="0.2">
      <c r="A11" s="1031"/>
      <c r="B11" s="1117"/>
      <c r="C11" s="1117"/>
      <c r="D11" s="1117"/>
      <c r="E11" s="641">
        <v>2018</v>
      </c>
      <c r="F11" s="1045"/>
      <c r="G11" s="1047"/>
      <c r="H11" s="676">
        <v>10953</v>
      </c>
      <c r="I11" s="386">
        <v>50016860.349999815</v>
      </c>
      <c r="J11" s="386">
        <v>43237749.209999867</v>
      </c>
      <c r="K11" s="386">
        <v>43690058.700499855</v>
      </c>
      <c r="L11" s="386">
        <v>43688835.540499851</v>
      </c>
      <c r="M11" s="676">
        <v>10763</v>
      </c>
      <c r="N11" s="676">
        <v>34</v>
      </c>
      <c r="O11" s="1040"/>
      <c r="P11" s="1040"/>
      <c r="Q11" s="1133"/>
      <c r="R11" s="1040"/>
    </row>
    <row r="12" spans="1:18" ht="15" customHeight="1" x14ac:dyDescent="0.2">
      <c r="A12" s="1031"/>
      <c r="B12" s="1117"/>
      <c r="C12" s="1117"/>
      <c r="D12" s="1117"/>
      <c r="E12" s="641">
        <v>2019</v>
      </c>
      <c r="F12" s="1045"/>
      <c r="G12" s="1047"/>
      <c r="H12" s="676">
        <v>10879</v>
      </c>
      <c r="I12" s="386">
        <v>49948791.700000033</v>
      </c>
      <c r="J12" s="386">
        <v>43757164.09999989</v>
      </c>
      <c r="K12" s="386">
        <v>43689954.749999903</v>
      </c>
      <c r="L12" s="386">
        <v>43694419.559999906</v>
      </c>
      <c r="M12" s="676">
        <v>10638</v>
      </c>
      <c r="N12" s="676">
        <v>14</v>
      </c>
      <c r="O12" s="1040"/>
      <c r="P12" s="1040"/>
      <c r="Q12" s="1133"/>
      <c r="R12" s="1040"/>
    </row>
    <row r="13" spans="1:18" ht="15" customHeight="1" x14ac:dyDescent="0.2">
      <c r="A13" s="1031"/>
      <c r="B13" s="1117"/>
      <c r="C13" s="1117"/>
      <c r="D13" s="1117"/>
      <c r="E13" s="641">
        <v>2020</v>
      </c>
      <c r="F13" s="658"/>
      <c r="G13" s="659"/>
      <c r="H13" s="676">
        <v>10731</v>
      </c>
      <c r="I13" s="386">
        <v>49770624.749999806</v>
      </c>
      <c r="J13" s="386">
        <v>44237095.779999629</v>
      </c>
      <c r="K13" s="386">
        <v>44661151.120999701</v>
      </c>
      <c r="L13" s="386">
        <v>44658275.740999699</v>
      </c>
      <c r="M13" s="676">
        <v>10491</v>
      </c>
      <c r="N13" s="676">
        <v>12</v>
      </c>
      <c r="O13" s="1040"/>
      <c r="P13" s="1040"/>
      <c r="Q13" s="1133"/>
      <c r="R13" s="1040"/>
    </row>
    <row r="14" spans="1:18" ht="15" customHeight="1" x14ac:dyDescent="0.2">
      <c r="A14" s="1031"/>
      <c r="B14" s="1117"/>
      <c r="C14" s="1117"/>
      <c r="D14" s="1117"/>
      <c r="E14" s="641">
        <v>2021</v>
      </c>
      <c r="F14" s="658"/>
      <c r="G14" s="659"/>
      <c r="H14" s="676">
        <v>10371</v>
      </c>
      <c r="I14" s="386">
        <v>47794205.250000045</v>
      </c>
      <c r="J14" s="386">
        <v>43805459.110000178</v>
      </c>
      <c r="K14" s="386">
        <v>43978244.320000179</v>
      </c>
      <c r="L14" s="386">
        <v>43978244.320000179</v>
      </c>
      <c r="M14" s="676">
        <v>10308</v>
      </c>
      <c r="N14" s="676">
        <v>36</v>
      </c>
      <c r="O14" s="1040"/>
      <c r="P14" s="1040"/>
      <c r="Q14" s="1133"/>
      <c r="R14" s="1040"/>
    </row>
    <row r="15" spans="1:18" ht="15" customHeight="1" x14ac:dyDescent="0.2">
      <c r="A15" s="1031"/>
      <c r="B15" s="1117"/>
      <c r="C15" s="1117"/>
      <c r="D15" s="1117"/>
      <c r="E15" s="641">
        <v>2022</v>
      </c>
      <c r="F15" s="658"/>
      <c r="G15" s="659"/>
      <c r="H15" s="676">
        <v>10187</v>
      </c>
      <c r="I15" s="386">
        <v>45996328.04999996</v>
      </c>
      <c r="J15" s="386">
        <v>42448411.00999999</v>
      </c>
      <c r="K15" s="386">
        <v>42664692.54999999</v>
      </c>
      <c r="L15" s="386">
        <v>42664863.379999988</v>
      </c>
      <c r="M15" s="676">
        <v>10107</v>
      </c>
      <c r="N15" s="676">
        <v>34</v>
      </c>
      <c r="O15" s="1040"/>
      <c r="P15" s="1040"/>
      <c r="Q15" s="1133"/>
      <c r="R15" s="1040"/>
    </row>
    <row r="16" spans="1:18" ht="15" customHeight="1" x14ac:dyDescent="0.2">
      <c r="A16" s="1032"/>
      <c r="B16" s="1138"/>
      <c r="C16" s="1138"/>
      <c r="D16" s="1138"/>
      <c r="E16" s="736">
        <v>2025</v>
      </c>
      <c r="F16" s="658"/>
      <c r="G16" s="659"/>
      <c r="H16" s="736"/>
      <c r="I16" s="736"/>
      <c r="J16" s="736"/>
      <c r="K16" s="739">
        <f>29000000-6000000</f>
        <v>23000000</v>
      </c>
      <c r="L16" s="736"/>
      <c r="M16" s="736"/>
      <c r="N16" s="736"/>
      <c r="O16" s="1041"/>
      <c r="P16" s="1041"/>
      <c r="Q16" s="1134"/>
      <c r="R16" s="1041"/>
    </row>
    <row r="17" spans="1:18" ht="15.75" customHeight="1" x14ac:dyDescent="0.2">
      <c r="A17" s="679" t="s">
        <v>868</v>
      </c>
      <c r="B17" s="680">
        <f>+B7</f>
        <v>340347549.31428599</v>
      </c>
      <c r="C17" s="680">
        <f>+C7</f>
        <v>166202661</v>
      </c>
      <c r="D17" s="680">
        <f>+D7</f>
        <v>345949988.77099943</v>
      </c>
      <c r="E17" s="648"/>
      <c r="F17" s="664">
        <f>+F7+F8</f>
        <v>10067.463755582028</v>
      </c>
      <c r="G17" s="682">
        <f>+G7+G8</f>
        <v>32588366.609999999</v>
      </c>
      <c r="H17" s="740">
        <f t="shared" ref="H17:J17" si="0">SUM(H9:H16)</f>
        <v>74156</v>
      </c>
      <c r="I17" s="741">
        <f t="shared" si="0"/>
        <v>336810157.49999964</v>
      </c>
      <c r="J17" s="741">
        <f t="shared" si="0"/>
        <v>288933192.40999937</v>
      </c>
      <c r="K17" s="741">
        <f>SUM(K9:K16)</f>
        <v>313361622.16099942</v>
      </c>
      <c r="L17" s="741">
        <f t="shared" ref="L17:N17" si="1">SUM(L9:L16)</f>
        <v>290364313.86099935</v>
      </c>
      <c r="M17" s="740">
        <f t="shared" si="1"/>
        <v>72748</v>
      </c>
      <c r="N17" s="740">
        <f t="shared" si="1"/>
        <v>219</v>
      </c>
      <c r="O17" s="682">
        <f>+O7</f>
        <v>321448246.50666702</v>
      </c>
      <c r="P17" s="682">
        <f>+P7</f>
        <v>32588366.609999999</v>
      </c>
      <c r="Q17" s="742">
        <f>+P17/O17</f>
        <v>0.10137982385703914</v>
      </c>
      <c r="R17" s="682">
        <f>SUM(R7)</f>
        <v>154296100.22999999</v>
      </c>
    </row>
    <row r="18" spans="1:18" x14ac:dyDescent="0.2">
      <c r="K18" s="426"/>
    </row>
    <row r="19" spans="1:18" ht="98.25" customHeight="1" x14ac:dyDescent="0.2">
      <c r="A19" s="1113" t="s">
        <v>847</v>
      </c>
      <c r="B19" s="1113"/>
      <c r="C19" s="1113"/>
      <c r="D19" s="1113"/>
      <c r="E19" s="1113"/>
      <c r="F19" s="1113"/>
      <c r="G19" s="1113"/>
      <c r="H19" s="1113"/>
      <c r="I19" s="1113"/>
      <c r="J19" s="1113"/>
      <c r="K19" s="1113"/>
      <c r="L19" s="1113"/>
      <c r="M19" s="1113"/>
      <c r="N19" s="1113"/>
      <c r="O19" s="1113"/>
      <c r="P19" s="1113"/>
      <c r="Q19" s="1113"/>
      <c r="R19" s="1113"/>
    </row>
    <row r="20" spans="1:18" ht="12.75" customHeight="1" x14ac:dyDescent="0.2">
      <c r="A20" s="1059"/>
      <c r="B20" s="1059"/>
      <c r="C20" s="1059"/>
      <c r="D20" s="1059"/>
      <c r="E20" s="1059"/>
      <c r="F20" s="1059"/>
      <c r="G20" s="1059"/>
      <c r="H20" s="1059"/>
      <c r="I20" s="1059"/>
      <c r="J20" s="1059"/>
      <c r="K20" s="1059"/>
      <c r="L20" s="1059"/>
      <c r="M20" s="1059"/>
      <c r="N20" s="1059"/>
      <c r="O20" s="1059"/>
      <c r="P20" s="1059"/>
      <c r="Q20" s="1059"/>
      <c r="R20" s="1059"/>
    </row>
    <row r="21" spans="1:18" ht="28.5" customHeight="1" x14ac:dyDescent="0.2">
      <c r="A21" s="1026" t="s">
        <v>805</v>
      </c>
      <c r="B21" s="1026"/>
      <c r="C21" s="1026"/>
      <c r="D21" s="1026"/>
      <c r="E21" s="1026"/>
      <c r="F21" s="1026"/>
      <c r="G21" s="1026"/>
      <c r="H21" s="1026"/>
      <c r="I21" s="1026"/>
      <c r="J21" s="1026"/>
      <c r="K21" s="1026"/>
      <c r="L21" s="1026"/>
      <c r="M21" s="1026"/>
      <c r="N21" s="1026"/>
      <c r="O21" s="1026"/>
      <c r="P21" s="1026"/>
      <c r="Q21" s="1026"/>
      <c r="R21" s="1026"/>
    </row>
    <row r="23" spans="1:18" x14ac:dyDescent="0.2">
      <c r="G23" s="426"/>
    </row>
    <row r="24" spans="1:18" x14ac:dyDescent="0.2">
      <c r="E24" s="426"/>
      <c r="H24" s="426"/>
    </row>
    <row r="25" spans="1:18" x14ac:dyDescent="0.2">
      <c r="K25" s="426"/>
      <c r="L25" s="426"/>
      <c r="M25" s="426"/>
      <c r="O25" s="426"/>
      <c r="P25" s="426"/>
    </row>
    <row r="26" spans="1:18" x14ac:dyDescent="0.2">
      <c r="M26" s="426"/>
    </row>
    <row r="27" spans="1:18" x14ac:dyDescent="0.2">
      <c r="K27" s="426"/>
      <c r="L27" s="426"/>
    </row>
  </sheetData>
  <mergeCells count="32">
    <mergeCell ref="Q7:Q16"/>
    <mergeCell ref="R7:R16"/>
    <mergeCell ref="F9:G12"/>
    <mergeCell ref="A19:R19"/>
    <mergeCell ref="A20:R20"/>
    <mergeCell ref="A21:R21"/>
    <mergeCell ref="N4:N5"/>
    <mergeCell ref="O4:Q4"/>
    <mergeCell ref="R4:R5"/>
    <mergeCell ref="A7:A16"/>
    <mergeCell ref="B7:B16"/>
    <mergeCell ref="C7:C16"/>
    <mergeCell ref="D7:D16"/>
    <mergeCell ref="H7:N8"/>
    <mergeCell ref="O7:O16"/>
    <mergeCell ref="P7:P16"/>
    <mergeCell ref="H4:H5"/>
    <mergeCell ref="I4:I5"/>
    <mergeCell ref="J4:J5"/>
    <mergeCell ref="K4:K5"/>
    <mergeCell ref="L4:L5"/>
    <mergeCell ref="M4:M5"/>
    <mergeCell ref="A1:Q1"/>
    <mergeCell ref="A2:A5"/>
    <mergeCell ref="B2:C4"/>
    <mergeCell ref="D2:D5"/>
    <mergeCell ref="E2:E5"/>
    <mergeCell ref="F2:G3"/>
    <mergeCell ref="H2:N3"/>
    <mergeCell ref="O2:R3"/>
    <mergeCell ref="F4:F5"/>
    <mergeCell ref="G4:G5"/>
  </mergeCells>
  <printOptions horizontalCentered="1" verticalCentered="1"/>
  <pageMargins left="0.39370078740157483" right="0.39370078740157483" top="0.39370078740157483" bottom="0.39370078740157483" header="0.31496062992125984" footer="0.31496062992125984"/>
  <pageSetup paperSize="9" scale="61"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1FE72-4ADE-4F91-99E6-0BE40024221D}">
  <sheetPr>
    <pageSetUpPr fitToPage="1"/>
  </sheetPr>
  <dimension ref="A1:R28"/>
  <sheetViews>
    <sheetView topLeftCell="A4" zoomScaleNormal="100" zoomScaleSheetLayoutView="90" workbookViewId="0">
      <selection activeCell="A6" sqref="A6:R39"/>
    </sheetView>
  </sheetViews>
  <sheetFormatPr defaultColWidth="32" defaultRowHeight="11.25" x14ac:dyDescent="0.2"/>
  <cols>
    <col min="1" max="1" width="10.5703125" style="5" customWidth="1"/>
    <col min="2" max="3" width="10.7109375" style="668" customWidth="1"/>
    <col min="4" max="4" width="11.28515625" style="668" customWidth="1"/>
    <col min="5" max="5" width="11" style="5" customWidth="1"/>
    <col min="6" max="6" width="8.5703125" style="5" customWidth="1"/>
    <col min="7" max="7" width="18.42578125" style="5" customWidth="1"/>
    <col min="8" max="8" width="12.140625" style="5" customWidth="1"/>
    <col min="9" max="9" width="14" style="5" customWidth="1"/>
    <col min="10" max="10" width="14.42578125" style="5" customWidth="1"/>
    <col min="11" max="11" width="15.42578125" style="5" customWidth="1"/>
    <col min="12" max="12" width="17.7109375" style="5" customWidth="1"/>
    <col min="13" max="13" width="11.28515625" style="5" customWidth="1"/>
    <col min="14" max="14" width="11.5703125" style="5" customWidth="1"/>
    <col min="15" max="16" width="11.85546875" style="5" customWidth="1"/>
    <col min="17" max="17" width="11.85546875" style="669" customWidth="1"/>
    <col min="18" max="18" width="11.85546875" style="5" customWidth="1"/>
    <col min="19" max="16384" width="32" style="5"/>
  </cols>
  <sheetData>
    <row r="1" spans="1:18" ht="15.75" customHeight="1" x14ac:dyDescent="0.25">
      <c r="A1" s="1014" t="s">
        <v>869</v>
      </c>
      <c r="B1" s="1014"/>
      <c r="C1" s="1014"/>
      <c r="D1" s="1014"/>
      <c r="E1" s="1014"/>
      <c r="F1" s="1014"/>
      <c r="G1" s="1014"/>
      <c r="H1" s="1014"/>
      <c r="I1" s="1014"/>
      <c r="J1" s="1014"/>
      <c r="K1" s="1014"/>
      <c r="L1" s="1014"/>
      <c r="M1" s="1014"/>
      <c r="N1" s="1014"/>
      <c r="O1" s="1014"/>
      <c r="P1" s="1014"/>
      <c r="Q1" s="1014"/>
    </row>
    <row r="2" spans="1:18" ht="21" customHeight="1" x14ac:dyDescent="0.2">
      <c r="A2" s="1012" t="s">
        <v>761</v>
      </c>
      <c r="B2" s="1016" t="s">
        <v>840</v>
      </c>
      <c r="C2" s="1017"/>
      <c r="D2" s="1012" t="s">
        <v>770</v>
      </c>
      <c r="E2" s="1012" t="s">
        <v>764</v>
      </c>
      <c r="F2" s="1020" t="s">
        <v>765</v>
      </c>
      <c r="G2" s="1020"/>
      <c r="H2" s="1056" t="s">
        <v>675</v>
      </c>
      <c r="I2" s="1052"/>
      <c r="J2" s="1052"/>
      <c r="K2" s="1052"/>
      <c r="L2" s="1052"/>
      <c r="M2" s="1052"/>
      <c r="N2" s="1053"/>
      <c r="O2" s="1020" t="s">
        <v>786</v>
      </c>
      <c r="P2" s="1020"/>
      <c r="Q2" s="1020"/>
      <c r="R2" s="1020"/>
    </row>
    <row r="3" spans="1:18" ht="14.25" customHeight="1" x14ac:dyDescent="0.2">
      <c r="A3" s="1015"/>
      <c r="B3" s="1114"/>
      <c r="C3" s="1115"/>
      <c r="D3" s="1015"/>
      <c r="E3" s="1015"/>
      <c r="F3" s="1020"/>
      <c r="G3" s="1020"/>
      <c r="H3" s="1057"/>
      <c r="I3" s="1054"/>
      <c r="J3" s="1054"/>
      <c r="K3" s="1054"/>
      <c r="L3" s="1054"/>
      <c r="M3" s="1054"/>
      <c r="N3" s="1055"/>
      <c r="O3" s="1020"/>
      <c r="P3" s="1020"/>
      <c r="Q3" s="1020"/>
      <c r="R3" s="1020"/>
    </row>
    <row r="4" spans="1:18" s="649" customFormat="1" ht="28.5" customHeight="1" x14ac:dyDescent="0.25">
      <c r="A4" s="1015"/>
      <c r="B4" s="1018"/>
      <c r="C4" s="1019"/>
      <c r="D4" s="1015"/>
      <c r="E4" s="1015"/>
      <c r="F4" s="1012" t="s">
        <v>769</v>
      </c>
      <c r="G4" s="1012" t="s">
        <v>870</v>
      </c>
      <c r="H4" s="1012" t="s">
        <v>871</v>
      </c>
      <c r="I4" s="1012" t="s">
        <v>872</v>
      </c>
      <c r="J4" s="1012" t="s">
        <v>873</v>
      </c>
      <c r="K4" s="1012" t="s">
        <v>874</v>
      </c>
      <c r="L4" s="1012" t="s">
        <v>875</v>
      </c>
      <c r="M4" s="1012" t="s">
        <v>876</v>
      </c>
      <c r="N4" s="1012" t="s">
        <v>877</v>
      </c>
      <c r="O4" s="1020" t="s">
        <v>797</v>
      </c>
      <c r="P4" s="1020"/>
      <c r="Q4" s="1020"/>
      <c r="R4" s="1020" t="s">
        <v>768</v>
      </c>
    </row>
    <row r="5" spans="1:18" s="649" customFormat="1" ht="24.75" customHeight="1" x14ac:dyDescent="0.25">
      <c r="A5" s="1013"/>
      <c r="B5" s="670" t="s">
        <v>767</v>
      </c>
      <c r="C5" s="670" t="s">
        <v>768</v>
      </c>
      <c r="D5" s="1013"/>
      <c r="E5" s="1013"/>
      <c r="F5" s="1013"/>
      <c r="G5" s="1013"/>
      <c r="H5" s="1013"/>
      <c r="I5" s="1013"/>
      <c r="J5" s="1013"/>
      <c r="K5" s="1013"/>
      <c r="L5" s="1013"/>
      <c r="M5" s="1013"/>
      <c r="N5" s="1013"/>
      <c r="O5" s="648" t="s">
        <v>1</v>
      </c>
      <c r="P5" s="648" t="s">
        <v>2</v>
      </c>
      <c r="Q5" s="650" t="s">
        <v>774</v>
      </c>
      <c r="R5" s="1020"/>
    </row>
    <row r="6" spans="1:18" s="649" customFormat="1" x14ac:dyDescent="0.25">
      <c r="A6" s="651" t="s">
        <v>305</v>
      </c>
      <c r="B6" s="653" t="s">
        <v>306</v>
      </c>
      <c r="C6" s="653" t="s">
        <v>307</v>
      </c>
      <c r="D6" s="651" t="s">
        <v>308</v>
      </c>
      <c r="E6" s="653" t="s">
        <v>309</v>
      </c>
      <c r="F6" s="651" t="s">
        <v>517</v>
      </c>
      <c r="G6" s="653" t="s">
        <v>642</v>
      </c>
      <c r="H6" s="651" t="s">
        <v>310</v>
      </c>
      <c r="I6" s="653" t="s">
        <v>775</v>
      </c>
      <c r="J6" s="653" t="s">
        <v>518</v>
      </c>
      <c r="K6" s="653" t="s">
        <v>753</v>
      </c>
      <c r="L6" s="651" t="s">
        <v>741</v>
      </c>
      <c r="M6" s="653" t="s">
        <v>776</v>
      </c>
      <c r="N6" s="653" t="s">
        <v>755</v>
      </c>
      <c r="O6" s="653" t="s">
        <v>778</v>
      </c>
      <c r="P6" s="653" t="s">
        <v>757</v>
      </c>
      <c r="Q6" s="653" t="s">
        <v>844</v>
      </c>
      <c r="R6" s="653" t="s">
        <v>845</v>
      </c>
    </row>
    <row r="7" spans="1:18" ht="22.5" customHeight="1" x14ac:dyDescent="0.2">
      <c r="A7" s="1030" t="s">
        <v>51</v>
      </c>
      <c r="B7" s="1033">
        <v>5382260.5866666697</v>
      </c>
      <c r="C7" s="1033">
        <v>2788730</v>
      </c>
      <c r="D7" s="1033">
        <f>+G19+K19</f>
        <v>5374580.8100000005</v>
      </c>
      <c r="E7" s="641" t="s">
        <v>780</v>
      </c>
      <c r="F7" s="674">
        <v>2</v>
      </c>
      <c r="G7" s="665">
        <v>21255.900000000023</v>
      </c>
      <c r="H7" s="1069"/>
      <c r="I7" s="1069"/>
      <c r="J7" s="1069"/>
      <c r="K7" s="1069"/>
      <c r="L7" s="1069"/>
      <c r="M7" s="1069"/>
      <c r="N7" s="1069"/>
      <c r="O7" s="1039">
        <v>4634037.1066666702</v>
      </c>
      <c r="P7" s="1039">
        <v>223525.68</v>
      </c>
      <c r="Q7" s="1132">
        <f>+P7/O7</f>
        <v>4.8235625838737674E-2</v>
      </c>
      <c r="R7" s="1039">
        <v>2227562.39</v>
      </c>
    </row>
    <row r="8" spans="1:18" ht="15" customHeight="1" x14ac:dyDescent="0.2">
      <c r="A8" s="1031"/>
      <c r="B8" s="1034"/>
      <c r="C8" s="1034"/>
      <c r="D8" s="1034"/>
      <c r="E8" s="641">
        <v>2015</v>
      </c>
      <c r="F8" s="674">
        <v>7</v>
      </c>
      <c r="G8" s="665">
        <v>143492</v>
      </c>
      <c r="H8" s="1069"/>
      <c r="I8" s="1069"/>
      <c r="J8" s="1069"/>
      <c r="K8" s="1069"/>
      <c r="L8" s="1069"/>
      <c r="M8" s="1069"/>
      <c r="N8" s="1069"/>
      <c r="O8" s="1040"/>
      <c r="P8" s="1040"/>
      <c r="Q8" s="1133"/>
      <c r="R8" s="1040"/>
    </row>
    <row r="9" spans="1:18" ht="15" customHeight="1" x14ac:dyDescent="0.2">
      <c r="A9" s="1031"/>
      <c r="B9" s="1034"/>
      <c r="C9" s="1034"/>
      <c r="D9" s="1034"/>
      <c r="E9" s="641">
        <v>2016</v>
      </c>
      <c r="F9" s="674">
        <v>6</v>
      </c>
      <c r="G9" s="665">
        <v>152324</v>
      </c>
      <c r="H9" s="676">
        <v>99</v>
      </c>
      <c r="I9" s="386">
        <v>1910180.2199999997</v>
      </c>
      <c r="J9" s="386">
        <v>652007.42000000004</v>
      </c>
      <c r="K9" s="386">
        <v>739801.54000000015</v>
      </c>
      <c r="L9" s="386">
        <v>739801.54000000015</v>
      </c>
      <c r="M9" s="676">
        <v>36</v>
      </c>
      <c r="N9" s="676">
        <v>1</v>
      </c>
      <c r="O9" s="1040"/>
      <c r="P9" s="1040"/>
      <c r="Q9" s="1133"/>
      <c r="R9" s="1040"/>
    </row>
    <row r="10" spans="1:18" ht="15" customHeight="1" x14ac:dyDescent="0.2">
      <c r="A10" s="1031"/>
      <c r="B10" s="1034"/>
      <c r="C10" s="1034"/>
      <c r="D10" s="1034"/>
      <c r="E10" s="641">
        <v>2017</v>
      </c>
      <c r="F10" s="1042"/>
      <c r="G10" s="1044"/>
      <c r="H10" s="676">
        <v>47</v>
      </c>
      <c r="I10" s="386">
        <v>980916.76</v>
      </c>
      <c r="J10" s="386">
        <v>567139.76</v>
      </c>
      <c r="K10" s="386">
        <v>560070.41</v>
      </c>
      <c r="L10" s="386">
        <v>560070.41</v>
      </c>
      <c r="M10" s="676">
        <v>32</v>
      </c>
      <c r="N10" s="676">
        <v>4</v>
      </c>
      <c r="O10" s="1040"/>
      <c r="P10" s="1040"/>
      <c r="Q10" s="1133"/>
      <c r="R10" s="1040"/>
    </row>
    <row r="11" spans="1:18" ht="15" customHeight="1" x14ac:dyDescent="0.2">
      <c r="A11" s="1031"/>
      <c r="B11" s="1034"/>
      <c r="C11" s="1034"/>
      <c r="D11" s="1034"/>
      <c r="E11" s="641">
        <v>2018</v>
      </c>
      <c r="F11" s="1045"/>
      <c r="G11" s="1047"/>
      <c r="H11" s="676">
        <v>36</v>
      </c>
      <c r="I11" s="386">
        <v>760938.16000000015</v>
      </c>
      <c r="J11" s="386">
        <v>578029.29999999993</v>
      </c>
      <c r="K11" s="386">
        <v>570098.1</v>
      </c>
      <c r="L11" s="386">
        <v>570098.1</v>
      </c>
      <c r="M11" s="676">
        <v>31</v>
      </c>
      <c r="N11" s="676">
        <v>3</v>
      </c>
      <c r="O11" s="1040"/>
      <c r="P11" s="1040"/>
      <c r="Q11" s="1133"/>
      <c r="R11" s="1040"/>
    </row>
    <row r="12" spans="1:18" ht="15" customHeight="1" x14ac:dyDescent="0.2">
      <c r="A12" s="1031"/>
      <c r="B12" s="1034"/>
      <c r="C12" s="1034"/>
      <c r="D12" s="1034"/>
      <c r="E12" s="641">
        <v>2019</v>
      </c>
      <c r="F12" s="1045"/>
      <c r="G12" s="1047"/>
      <c r="H12" s="676">
        <v>40</v>
      </c>
      <c r="I12" s="386">
        <v>904913.78000000026</v>
      </c>
      <c r="J12" s="386">
        <v>605433.12000000011</v>
      </c>
      <c r="K12" s="386">
        <v>587796.74000000011</v>
      </c>
      <c r="L12" s="386">
        <v>597912.16</v>
      </c>
      <c r="M12" s="676">
        <v>32</v>
      </c>
      <c r="N12" s="676">
        <v>2</v>
      </c>
      <c r="O12" s="1040"/>
      <c r="P12" s="1040"/>
      <c r="Q12" s="1133"/>
      <c r="R12" s="1040"/>
    </row>
    <row r="13" spans="1:18" ht="15" customHeight="1" x14ac:dyDescent="0.2">
      <c r="A13" s="1031"/>
      <c r="B13" s="1034"/>
      <c r="C13" s="1034"/>
      <c r="D13" s="1034"/>
      <c r="E13" s="641">
        <v>2020</v>
      </c>
      <c r="F13" s="1045"/>
      <c r="G13" s="1047"/>
      <c r="H13" s="676">
        <v>52</v>
      </c>
      <c r="I13" s="386">
        <v>943011.12</v>
      </c>
      <c r="J13" s="386">
        <v>662586.1399999999</v>
      </c>
      <c r="K13" s="386">
        <v>641366.61999999988</v>
      </c>
      <c r="L13" s="386">
        <v>641366.61999999988</v>
      </c>
      <c r="M13" s="676">
        <v>37</v>
      </c>
      <c r="N13" s="676">
        <v>6</v>
      </c>
      <c r="O13" s="1040"/>
      <c r="P13" s="1040"/>
      <c r="Q13" s="1133"/>
      <c r="R13" s="1040"/>
    </row>
    <row r="14" spans="1:18" ht="15" customHeight="1" x14ac:dyDescent="0.2">
      <c r="A14" s="1031"/>
      <c r="B14" s="1034"/>
      <c r="C14" s="1034"/>
      <c r="D14" s="1034"/>
      <c r="E14" s="641">
        <v>2021</v>
      </c>
      <c r="F14" s="1045"/>
      <c r="G14" s="1047"/>
      <c r="H14" s="676">
        <v>29</v>
      </c>
      <c r="I14" s="386">
        <v>598502.02</v>
      </c>
      <c r="J14" s="386">
        <v>563070.74000000011</v>
      </c>
      <c r="K14" s="386">
        <v>436193.20000000007</v>
      </c>
      <c r="L14" s="386">
        <v>436193.20000000007</v>
      </c>
      <c r="M14" s="676">
        <v>18</v>
      </c>
      <c r="N14" s="676">
        <v>2</v>
      </c>
      <c r="O14" s="1040"/>
      <c r="P14" s="1040"/>
      <c r="Q14" s="1133"/>
      <c r="R14" s="1040"/>
    </row>
    <row r="15" spans="1:18" ht="15" customHeight="1" x14ac:dyDescent="0.2">
      <c r="A15" s="1031"/>
      <c r="B15" s="1034"/>
      <c r="C15" s="1034"/>
      <c r="D15" s="1034"/>
      <c r="E15" s="641">
        <v>2022</v>
      </c>
      <c r="F15" s="1045"/>
      <c r="G15" s="1047"/>
      <c r="H15" s="676">
        <v>20</v>
      </c>
      <c r="I15" s="386">
        <v>467597.51999999996</v>
      </c>
      <c r="J15" s="386">
        <v>422182.30000000005</v>
      </c>
      <c r="K15" s="386">
        <v>422182.30000000005</v>
      </c>
      <c r="L15" s="386">
        <v>422182.30000000005</v>
      </c>
      <c r="M15" s="676">
        <v>17</v>
      </c>
      <c r="N15" s="676">
        <v>1</v>
      </c>
      <c r="O15" s="1040"/>
      <c r="P15" s="1040"/>
      <c r="Q15" s="1133"/>
      <c r="R15" s="1040"/>
    </row>
    <row r="16" spans="1:18" ht="15" customHeight="1" x14ac:dyDescent="0.2">
      <c r="A16" s="1031"/>
      <c r="B16" s="1034"/>
      <c r="C16" s="1034"/>
      <c r="D16" s="1034"/>
      <c r="E16" s="641">
        <v>2023</v>
      </c>
      <c r="F16" s="1045"/>
      <c r="G16" s="1047"/>
      <c r="H16" s="676">
        <v>20</v>
      </c>
      <c r="I16" s="386">
        <v>432038.04000000004</v>
      </c>
      <c r="J16" s="386">
        <v>352060.50000000006</v>
      </c>
      <c r="K16" s="386">
        <v>450000</v>
      </c>
      <c r="L16" s="386">
        <v>352060.50000000006</v>
      </c>
      <c r="M16" s="676">
        <v>16</v>
      </c>
      <c r="N16" s="676">
        <v>2</v>
      </c>
      <c r="O16" s="1040"/>
      <c r="P16" s="1040"/>
      <c r="Q16" s="1133"/>
      <c r="R16" s="1040"/>
    </row>
    <row r="17" spans="1:18" ht="15" customHeight="1" x14ac:dyDescent="0.2">
      <c r="A17" s="1031"/>
      <c r="B17" s="1034"/>
      <c r="C17" s="1034"/>
      <c r="D17" s="1034"/>
      <c r="E17" s="641">
        <v>2024</v>
      </c>
      <c r="F17" s="1045"/>
      <c r="G17" s="1047"/>
      <c r="H17" s="676">
        <v>16</v>
      </c>
      <c r="I17" s="386">
        <v>355898.15999999992</v>
      </c>
      <c r="J17" s="386">
        <v>341866.63</v>
      </c>
      <c r="K17" s="386">
        <v>390000</v>
      </c>
      <c r="L17" s="386">
        <v>109479.36</v>
      </c>
      <c r="M17" s="676">
        <v>6</v>
      </c>
      <c r="N17" s="676">
        <v>10</v>
      </c>
      <c r="O17" s="1040"/>
      <c r="P17" s="1040"/>
      <c r="Q17" s="1133"/>
      <c r="R17" s="1040"/>
    </row>
    <row r="18" spans="1:18" ht="15" customHeight="1" x14ac:dyDescent="0.2">
      <c r="A18" s="1032"/>
      <c r="B18" s="1035"/>
      <c r="C18" s="1035"/>
      <c r="D18" s="1035"/>
      <c r="E18" s="743">
        <v>2025</v>
      </c>
      <c r="F18" s="744"/>
      <c r="G18" s="745"/>
      <c r="H18" s="746">
        <v>9</v>
      </c>
      <c r="I18" s="747">
        <v>260000</v>
      </c>
      <c r="J18" s="747"/>
      <c r="K18" s="747">
        <v>260000</v>
      </c>
      <c r="L18" s="747"/>
      <c r="M18" s="748"/>
      <c r="N18" s="748"/>
      <c r="O18" s="1041"/>
      <c r="P18" s="1041"/>
      <c r="Q18" s="1134"/>
      <c r="R18" s="1041"/>
    </row>
    <row r="19" spans="1:18" ht="15.75" customHeight="1" x14ac:dyDescent="0.2">
      <c r="A19" s="679" t="s">
        <v>878</v>
      </c>
      <c r="B19" s="680">
        <f>+B7</f>
        <v>5382260.5866666697</v>
      </c>
      <c r="C19" s="680">
        <f>+C7</f>
        <v>2788730</v>
      </c>
      <c r="D19" s="680">
        <f>+D7</f>
        <v>5374580.8100000005</v>
      </c>
      <c r="E19" s="749"/>
      <c r="F19" s="664">
        <f>SUM(F7:F9)</f>
        <v>15</v>
      </c>
      <c r="G19" s="682">
        <f>SUM(G7:G9)</f>
        <v>317071.90000000002</v>
      </c>
      <c r="H19" s="664">
        <f t="shared" ref="H19:N19" si="0">SUM(H9:H18)</f>
        <v>368</v>
      </c>
      <c r="I19" s="682">
        <f t="shared" si="0"/>
        <v>7613995.7800000003</v>
      </c>
      <c r="J19" s="682">
        <f t="shared" si="0"/>
        <v>4744375.91</v>
      </c>
      <c r="K19" s="682">
        <f t="shared" si="0"/>
        <v>5057508.91</v>
      </c>
      <c r="L19" s="682">
        <f t="shared" si="0"/>
        <v>4429164.1900000004</v>
      </c>
      <c r="M19" s="664">
        <f t="shared" si="0"/>
        <v>225</v>
      </c>
      <c r="N19" s="664">
        <f t="shared" si="0"/>
        <v>31</v>
      </c>
      <c r="O19" s="680">
        <f>+O7</f>
        <v>4634037.1066666702</v>
      </c>
      <c r="P19" s="680">
        <f>+P7</f>
        <v>223525.68</v>
      </c>
      <c r="Q19" s="656">
        <f>+P19/O19</f>
        <v>4.8235625838737674E-2</v>
      </c>
      <c r="R19" s="680">
        <f>+R7</f>
        <v>2227562.39</v>
      </c>
    </row>
    <row r="21" spans="1:18" ht="98.25" customHeight="1" x14ac:dyDescent="0.2">
      <c r="A21" s="1113" t="s">
        <v>804</v>
      </c>
      <c r="B21" s="1113"/>
      <c r="C21" s="1113"/>
      <c r="D21" s="1113"/>
      <c r="E21" s="1113"/>
      <c r="F21" s="1113"/>
      <c r="G21" s="1113"/>
      <c r="H21" s="1113"/>
      <c r="I21" s="1113"/>
      <c r="J21" s="1113"/>
      <c r="K21" s="1113"/>
      <c r="L21" s="1113"/>
      <c r="M21" s="1113"/>
      <c r="N21" s="1113"/>
      <c r="O21" s="1113"/>
      <c r="P21" s="1113"/>
      <c r="Q21" s="1113"/>
      <c r="R21" s="1113"/>
    </row>
    <row r="22" spans="1:18" ht="10.5" customHeight="1" x14ac:dyDescent="0.2">
      <c r="A22" s="1113"/>
      <c r="B22" s="1113"/>
      <c r="C22" s="1113"/>
      <c r="D22" s="1113"/>
      <c r="E22" s="1113"/>
      <c r="F22" s="1113"/>
      <c r="G22" s="1113"/>
      <c r="H22" s="1113"/>
      <c r="I22" s="1113"/>
      <c r="J22" s="1113"/>
      <c r="K22" s="1113"/>
      <c r="L22" s="1113"/>
      <c r="M22" s="1113"/>
      <c r="N22" s="1113"/>
      <c r="O22" s="1113"/>
      <c r="P22" s="1113"/>
      <c r="Q22" s="1113"/>
      <c r="R22" s="1113"/>
    </row>
    <row r="23" spans="1:18" ht="27" customHeight="1" x14ac:dyDescent="0.2">
      <c r="A23" s="1026" t="s">
        <v>805</v>
      </c>
      <c r="B23" s="1026"/>
      <c r="C23" s="1026"/>
      <c r="D23" s="1026"/>
      <c r="E23" s="1026"/>
      <c r="F23" s="1026"/>
      <c r="G23" s="1026"/>
      <c r="H23" s="1026"/>
      <c r="I23" s="1026"/>
      <c r="J23" s="1026"/>
      <c r="K23" s="1026"/>
      <c r="L23" s="1026"/>
      <c r="M23" s="1026"/>
      <c r="N23" s="1026"/>
      <c r="O23" s="1026"/>
      <c r="P23" s="1026"/>
      <c r="Q23" s="1026"/>
      <c r="R23" s="1026"/>
    </row>
    <row r="25" spans="1:18" x14ac:dyDescent="0.2">
      <c r="O25" s="426"/>
      <c r="P25" s="426"/>
    </row>
    <row r="26" spans="1:18" x14ac:dyDescent="0.2">
      <c r="E26" s="426"/>
      <c r="H26" s="426"/>
      <c r="I26" s="426"/>
      <c r="J26" s="426"/>
      <c r="K26" s="426"/>
      <c r="L26" s="426"/>
    </row>
    <row r="28" spans="1:18" x14ac:dyDescent="0.2">
      <c r="E28" s="426"/>
    </row>
  </sheetData>
  <mergeCells count="31">
    <mergeCell ref="A21:R22"/>
    <mergeCell ref="A23:R23"/>
    <mergeCell ref="O7:O18"/>
    <mergeCell ref="P7:P18"/>
    <mergeCell ref="J4:J5"/>
    <mergeCell ref="K4:K5"/>
    <mergeCell ref="L4:L5"/>
    <mergeCell ref="Q7:Q18"/>
    <mergeCell ref="R7:R18"/>
    <mergeCell ref="A7:A18"/>
    <mergeCell ref="B7:B18"/>
    <mergeCell ref="C7:C18"/>
    <mergeCell ref="D7:D18"/>
    <mergeCell ref="H7:N8"/>
    <mergeCell ref="F10:G17"/>
    <mergeCell ref="A1:Q1"/>
    <mergeCell ref="A2:A5"/>
    <mergeCell ref="B2:C4"/>
    <mergeCell ref="D2:D5"/>
    <mergeCell ref="E2:E5"/>
    <mergeCell ref="F2:G3"/>
    <mergeCell ref="H2:N3"/>
    <mergeCell ref="O2:R3"/>
    <mergeCell ref="F4:F5"/>
    <mergeCell ref="G4:G5"/>
    <mergeCell ref="N4:N5"/>
    <mergeCell ref="O4:Q4"/>
    <mergeCell ref="R4:R5"/>
    <mergeCell ref="M4:M5"/>
    <mergeCell ref="H4:H5"/>
    <mergeCell ref="I4:I5"/>
  </mergeCells>
  <printOptions horizontalCentered="1" verticalCentered="1"/>
  <pageMargins left="0.39370078740157483" right="0.39370078740157483" top="0.39370078740157483" bottom="0.39370078740157483" header="0.31496062992125984" footer="0.31496062992125984"/>
  <pageSetup paperSize="9" scale="62"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11"/>
  <sheetViews>
    <sheetView view="pageBreakPreview" zoomScaleNormal="100" zoomScaleSheetLayoutView="100" workbookViewId="0">
      <selection activeCell="A9" sqref="A9:AA9"/>
    </sheetView>
  </sheetViews>
  <sheetFormatPr defaultColWidth="8.7109375" defaultRowHeight="15" x14ac:dyDescent="0.25"/>
  <cols>
    <col min="1" max="1" width="13.7109375" customWidth="1"/>
    <col min="2" max="2" width="7" customWidth="1"/>
    <col min="3" max="3" width="7.7109375" customWidth="1"/>
    <col min="4" max="4" width="9.85546875" customWidth="1"/>
    <col min="5" max="5" width="3.28515625" bestFit="1" customWidth="1"/>
    <col min="6" max="6" width="8.140625" customWidth="1"/>
    <col min="7" max="7" width="4.140625" bestFit="1" customWidth="1"/>
    <col min="8" max="8" width="8.85546875" bestFit="1" customWidth="1"/>
    <col min="9" max="9" width="3.28515625" bestFit="1" customWidth="1"/>
    <col min="10" max="10" width="7.42578125" customWidth="1"/>
    <col min="11" max="12" width="3.28515625" bestFit="1" customWidth="1"/>
    <col min="13" max="13" width="7.5703125" customWidth="1"/>
    <col min="14" max="14" width="3.28515625" bestFit="1" customWidth="1"/>
    <col min="15" max="15" width="8.85546875" bestFit="1" customWidth="1"/>
    <col min="16" max="17" width="8.85546875" customWidth="1"/>
    <col min="18" max="18" width="3.28515625" bestFit="1" customWidth="1"/>
    <col min="19" max="19" width="8.5703125" customWidth="1"/>
    <col min="20" max="20" width="3.28515625" bestFit="1" customWidth="1"/>
    <col min="21" max="21" width="6.5703125" customWidth="1"/>
    <col min="22" max="22" width="3.140625" bestFit="1" customWidth="1"/>
    <col min="24" max="24" width="3.140625" bestFit="1" customWidth="1"/>
    <col min="26" max="26" width="3.140625" bestFit="1" customWidth="1"/>
  </cols>
  <sheetData>
    <row r="1" spans="1:27" x14ac:dyDescent="0.25">
      <c r="A1" s="1139" t="s">
        <v>671</v>
      </c>
      <c r="B1" s="1139"/>
      <c r="C1" s="1139"/>
      <c r="D1" s="1139"/>
      <c r="E1" s="1139"/>
      <c r="F1" s="1139"/>
      <c r="G1" s="1139"/>
      <c r="H1" s="1139"/>
      <c r="I1" s="1139"/>
      <c r="J1" s="1139"/>
      <c r="K1" s="1139"/>
      <c r="L1" s="1139"/>
      <c r="M1" s="1139"/>
      <c r="N1" s="1139"/>
      <c r="O1" s="1139"/>
      <c r="P1" s="1139"/>
      <c r="Q1" s="1139"/>
      <c r="R1" s="1139"/>
      <c r="S1" s="1139"/>
      <c r="T1" s="1139"/>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ht="55.15" customHeight="1" x14ac:dyDescent="0.25">
      <c r="A6" s="197" t="s">
        <v>311</v>
      </c>
      <c r="B6" s="151">
        <v>40822</v>
      </c>
      <c r="C6" s="165">
        <v>500000</v>
      </c>
      <c r="D6" s="154">
        <v>43918</v>
      </c>
      <c r="E6" s="39">
        <v>1</v>
      </c>
      <c r="F6" s="40">
        <v>499956</v>
      </c>
      <c r="G6" s="39">
        <v>0</v>
      </c>
      <c r="H6" s="3">
        <v>0</v>
      </c>
      <c r="I6" s="39">
        <v>0</v>
      </c>
      <c r="J6" s="3">
        <v>0</v>
      </c>
      <c r="K6" s="3">
        <v>0</v>
      </c>
      <c r="L6" s="3">
        <v>0</v>
      </c>
      <c r="M6" s="3">
        <v>0</v>
      </c>
      <c r="N6" s="39">
        <v>1</v>
      </c>
      <c r="O6" s="40">
        <v>499956</v>
      </c>
      <c r="P6" s="18">
        <v>0</v>
      </c>
      <c r="Q6" s="59">
        <f>C6-P6</f>
        <v>500000</v>
      </c>
      <c r="R6" s="3">
        <v>0</v>
      </c>
      <c r="S6" s="3">
        <v>0</v>
      </c>
      <c r="T6" s="3">
        <v>0</v>
      </c>
      <c r="U6" s="3">
        <v>0</v>
      </c>
      <c r="V6" s="22">
        <v>0</v>
      </c>
      <c r="W6" s="22">
        <v>0</v>
      </c>
      <c r="X6" s="22">
        <v>0</v>
      </c>
      <c r="Y6" s="22">
        <v>0</v>
      </c>
      <c r="Z6" s="22">
        <v>0</v>
      </c>
      <c r="AA6" s="22">
        <v>0</v>
      </c>
    </row>
    <row r="7" spans="1:27" x14ac:dyDescent="0.25">
      <c r="A7" s="19" t="s">
        <v>312</v>
      </c>
      <c r="B7" s="60"/>
      <c r="C7" s="20">
        <f>SUM(C6:C6)</f>
        <v>500000</v>
      </c>
      <c r="D7" s="20"/>
      <c r="E7" s="20">
        <f t="shared" ref="E7:AA7" si="0">SUM(E6:E6)</f>
        <v>1</v>
      </c>
      <c r="F7" s="20">
        <f t="shared" si="0"/>
        <v>499956</v>
      </c>
      <c r="G7" s="20">
        <f t="shared" si="0"/>
        <v>0</v>
      </c>
      <c r="H7" s="20">
        <f t="shared" si="0"/>
        <v>0</v>
      </c>
      <c r="I7" s="20">
        <f t="shared" si="0"/>
        <v>0</v>
      </c>
      <c r="J7" s="20">
        <f t="shared" si="0"/>
        <v>0</v>
      </c>
      <c r="K7" s="20">
        <f t="shared" si="0"/>
        <v>0</v>
      </c>
      <c r="L7" s="20">
        <f t="shared" si="0"/>
        <v>0</v>
      </c>
      <c r="M7" s="20">
        <f t="shared" si="0"/>
        <v>0</v>
      </c>
      <c r="N7" s="20">
        <f t="shared" si="0"/>
        <v>1</v>
      </c>
      <c r="O7" s="20">
        <f t="shared" si="0"/>
        <v>499956</v>
      </c>
      <c r="P7" s="20">
        <f t="shared" si="0"/>
        <v>0</v>
      </c>
      <c r="Q7" s="20">
        <f t="shared" si="0"/>
        <v>500000</v>
      </c>
      <c r="R7" s="20">
        <f t="shared" si="0"/>
        <v>0</v>
      </c>
      <c r="S7" s="20">
        <f t="shared" si="0"/>
        <v>0</v>
      </c>
      <c r="T7" s="20">
        <f t="shared" si="0"/>
        <v>0</v>
      </c>
      <c r="U7" s="20">
        <f t="shared" si="0"/>
        <v>0</v>
      </c>
      <c r="V7" s="20">
        <f t="shared" si="0"/>
        <v>0</v>
      </c>
      <c r="W7" s="20">
        <f t="shared" si="0"/>
        <v>0</v>
      </c>
      <c r="X7" s="20">
        <f t="shared" si="0"/>
        <v>0</v>
      </c>
      <c r="Y7" s="20">
        <f t="shared" si="0"/>
        <v>0</v>
      </c>
      <c r="Z7" s="20">
        <f t="shared" si="0"/>
        <v>0</v>
      </c>
      <c r="AA7" s="20">
        <f t="shared" si="0"/>
        <v>0</v>
      </c>
    </row>
    <row r="8" spans="1:27" ht="15" customHeight="1" x14ac:dyDescent="0.25">
      <c r="A8" s="219" t="s">
        <v>390</v>
      </c>
      <c r="B8" s="140"/>
      <c r="C8" s="140"/>
      <c r="D8" s="140"/>
      <c r="E8" s="140"/>
      <c r="F8" s="140"/>
      <c r="G8" s="140"/>
      <c r="H8" s="140"/>
      <c r="I8" s="140"/>
      <c r="J8" s="140"/>
      <c r="K8" s="140"/>
      <c r="L8" s="140"/>
      <c r="M8" s="140"/>
      <c r="N8" s="140"/>
      <c r="O8" s="140"/>
      <c r="P8" s="140"/>
      <c r="Q8" s="140"/>
      <c r="R8" s="140"/>
      <c r="S8" s="140"/>
      <c r="X8" s="12"/>
    </row>
    <row r="9" spans="1:27" s="23" customFormat="1" ht="18.600000000000001" customHeight="1" x14ac:dyDescent="0.25">
      <c r="A9" s="981" t="s">
        <v>732</v>
      </c>
      <c r="B9" s="981"/>
      <c r="C9" s="981"/>
      <c r="D9" s="981"/>
      <c r="E9" s="981"/>
      <c r="F9" s="981"/>
      <c r="G9" s="981"/>
      <c r="H9" s="981"/>
      <c r="I9" s="981"/>
      <c r="J9" s="981"/>
      <c r="K9" s="981"/>
      <c r="L9" s="981"/>
      <c r="M9" s="981"/>
      <c r="N9" s="981"/>
      <c r="O9" s="981"/>
      <c r="P9" s="981"/>
      <c r="Q9" s="981"/>
      <c r="R9" s="981"/>
      <c r="S9" s="981"/>
      <c r="T9" s="981"/>
      <c r="U9" s="981"/>
      <c r="V9" s="981"/>
      <c r="W9" s="981"/>
      <c r="X9" s="981"/>
      <c r="Y9" s="981"/>
      <c r="Z9" s="981"/>
      <c r="AA9" s="981"/>
    </row>
    <row r="10" spans="1:27" x14ac:dyDescent="0.25">
      <c r="A10" s="12"/>
      <c r="B10" s="12"/>
      <c r="X10" s="12"/>
    </row>
    <row r="11" spans="1:27" x14ac:dyDescent="0.25">
      <c r="X11" s="12"/>
    </row>
  </sheetData>
  <mergeCells count="22">
    <mergeCell ref="A1:T1"/>
    <mergeCell ref="I2:J4"/>
    <mergeCell ref="K2:O2"/>
    <mergeCell ref="P2:P4"/>
    <mergeCell ref="R2:S4"/>
    <mergeCell ref="T2:U4"/>
    <mergeCell ref="K3:M3"/>
    <mergeCell ref="N3:O4"/>
    <mergeCell ref="K4:K5"/>
    <mergeCell ref="L4:M4"/>
    <mergeCell ref="A2:A5"/>
    <mergeCell ref="B2:B5"/>
    <mergeCell ref="A9:AA9"/>
    <mergeCell ref="C2:C5"/>
    <mergeCell ref="D2:D5"/>
    <mergeCell ref="E2:F4"/>
    <mergeCell ref="G2:H4"/>
    <mergeCell ref="Q2:Q4"/>
    <mergeCell ref="V2:AA3"/>
    <mergeCell ref="V4:W4"/>
    <mergeCell ref="X4:Y4"/>
    <mergeCell ref="Z4:AA4"/>
  </mergeCells>
  <pageMargins left="0.7" right="0.7" top="0.75" bottom="0.75" header="0.3" footer="0.3"/>
  <pageSetup paperSize="9" scale="7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B54"/>
  <sheetViews>
    <sheetView view="pageBreakPreview" topLeftCell="A37" zoomScaleNormal="100" zoomScaleSheetLayoutView="100" workbookViewId="0">
      <selection activeCell="P34" sqref="P34"/>
    </sheetView>
  </sheetViews>
  <sheetFormatPr defaultColWidth="8.7109375" defaultRowHeight="15" x14ac:dyDescent="0.25"/>
  <cols>
    <col min="1" max="1" width="11.7109375" customWidth="1"/>
    <col min="2" max="2" width="6" customWidth="1"/>
    <col min="3" max="3" width="9.7109375" customWidth="1"/>
    <col min="5" max="5" width="4.140625" customWidth="1"/>
    <col min="7" max="7" width="3.140625" bestFit="1" customWidth="1"/>
    <col min="8" max="8" width="6.85546875" customWidth="1"/>
    <col min="9" max="9" width="3.7109375" bestFit="1" customWidth="1"/>
    <col min="10" max="10" width="9.5703125" bestFit="1" customWidth="1"/>
    <col min="11" max="11" width="3.140625" bestFit="1" customWidth="1"/>
    <col min="12" max="12" width="4" customWidth="1"/>
    <col min="13" max="13" width="10.140625" customWidth="1"/>
    <col min="14" max="14" width="3.5703125" customWidth="1"/>
    <col min="15" max="15" width="10.5703125" customWidth="1"/>
    <col min="16" max="16" width="9.42578125" customWidth="1"/>
    <col min="17" max="17" width="7.7109375" bestFit="1" customWidth="1"/>
    <col min="18" max="18" width="4.42578125" bestFit="1" customWidth="1"/>
    <col min="19" max="19" width="9.5703125" customWidth="1"/>
    <col min="20" max="20" width="4.140625" customWidth="1"/>
    <col min="21" max="21" width="10.28515625" customWidth="1"/>
    <col min="22" max="22" width="3.140625" bestFit="1" customWidth="1"/>
    <col min="23" max="23" width="10.85546875" customWidth="1"/>
    <col min="24" max="24" width="3.140625" bestFit="1" customWidth="1"/>
    <col min="26" max="26" width="3.140625" bestFit="1" customWidth="1"/>
    <col min="28" max="28" width="11.85546875" bestFit="1" customWidth="1"/>
  </cols>
  <sheetData>
    <row r="1" spans="1:27" x14ac:dyDescent="0.25">
      <c r="A1" s="44" t="s">
        <v>214</v>
      </c>
      <c r="B1" s="44"/>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ht="22.5" x14ac:dyDescent="0.25">
      <c r="A6" s="198" t="s">
        <v>102</v>
      </c>
      <c r="B6" s="58">
        <v>5421</v>
      </c>
      <c r="C6" s="157">
        <v>935530.42</v>
      </c>
      <c r="D6" s="31">
        <v>42993</v>
      </c>
      <c r="E6" s="181">
        <v>30</v>
      </c>
      <c r="F6" s="182">
        <v>1469597.73</v>
      </c>
      <c r="G6" s="182">
        <v>0</v>
      </c>
      <c r="H6" s="182">
        <v>0</v>
      </c>
      <c r="I6" s="181">
        <v>19</v>
      </c>
      <c r="J6" s="59">
        <v>772720.66</v>
      </c>
      <c r="K6" s="181">
        <v>19</v>
      </c>
      <c r="L6" s="181">
        <v>19</v>
      </c>
      <c r="M6" s="182">
        <v>772720.66</v>
      </c>
      <c r="N6" s="181">
        <v>11</v>
      </c>
      <c r="O6" s="84">
        <v>548924.37</v>
      </c>
      <c r="P6" s="83">
        <v>0</v>
      </c>
      <c r="Q6" s="59">
        <f>C6-M6</f>
        <v>162809.76</v>
      </c>
      <c r="R6" s="352">
        <v>13</v>
      </c>
      <c r="S6" s="84">
        <v>527094.59</v>
      </c>
      <c r="T6" s="144">
        <v>13</v>
      </c>
      <c r="U6" s="84">
        <v>507036.6100000001</v>
      </c>
      <c r="V6" s="22">
        <v>0</v>
      </c>
      <c r="W6" s="22">
        <v>0</v>
      </c>
      <c r="X6" s="22">
        <v>0</v>
      </c>
      <c r="Y6" s="22">
        <v>0</v>
      </c>
      <c r="Z6" s="22">
        <v>13</v>
      </c>
      <c r="AA6" s="22">
        <v>507036.60999999987</v>
      </c>
    </row>
    <row r="7" spans="1:27" s="23" customFormat="1" ht="33.75" x14ac:dyDescent="0.25">
      <c r="A7" s="199" t="s">
        <v>246</v>
      </c>
      <c r="B7" s="58">
        <v>40084</v>
      </c>
      <c r="C7" s="183">
        <v>9907279</v>
      </c>
      <c r="D7" s="111">
        <v>44151</v>
      </c>
      <c r="E7" s="181">
        <v>66</v>
      </c>
      <c r="F7" s="182">
        <v>30826319.839999985</v>
      </c>
      <c r="G7" s="182">
        <v>0</v>
      </c>
      <c r="H7" s="182">
        <v>0</v>
      </c>
      <c r="I7" s="58">
        <v>22</v>
      </c>
      <c r="J7" s="447">
        <v>9784849.5600000005</v>
      </c>
      <c r="K7" s="58">
        <v>22</v>
      </c>
      <c r="L7" s="388">
        <v>22</v>
      </c>
      <c r="M7" s="447">
        <v>9784849.5600000005</v>
      </c>
      <c r="N7" s="58">
        <v>22</v>
      </c>
      <c r="O7" s="82">
        <v>10304422.9</v>
      </c>
      <c r="P7" s="83">
        <f>J7-M7</f>
        <v>0</v>
      </c>
      <c r="Q7" s="59">
        <f>C7-J7</f>
        <v>122429.43999999948</v>
      </c>
      <c r="R7" s="353">
        <v>16</v>
      </c>
      <c r="S7" s="59">
        <v>4113256.7899999996</v>
      </c>
      <c r="T7" s="144">
        <v>7</v>
      </c>
      <c r="U7" s="84">
        <v>1317209.22</v>
      </c>
      <c r="V7" s="22">
        <v>0</v>
      </c>
      <c r="W7" s="22">
        <v>0</v>
      </c>
      <c r="X7" s="22">
        <v>5</v>
      </c>
      <c r="Y7" s="22">
        <v>853875.61</v>
      </c>
      <c r="Z7" s="22">
        <v>1</v>
      </c>
      <c r="AA7" s="22">
        <v>463333.61</v>
      </c>
    </row>
    <row r="8" spans="1:27" x14ac:dyDescent="0.25">
      <c r="A8" s="60" t="s">
        <v>215</v>
      </c>
      <c r="B8" s="60"/>
      <c r="C8" s="61">
        <f>SUM(C6:C7)</f>
        <v>10842809.42</v>
      </c>
      <c r="D8" s="61"/>
      <c r="E8" s="61">
        <f t="shared" ref="E8:AA8" si="0">SUM(E6:E7)</f>
        <v>96</v>
      </c>
      <c r="F8" s="61">
        <f t="shared" si="0"/>
        <v>32295917.569999985</v>
      </c>
      <c r="G8" s="61">
        <f t="shared" si="0"/>
        <v>0</v>
      </c>
      <c r="H8" s="61">
        <f t="shared" si="0"/>
        <v>0</v>
      </c>
      <c r="I8" s="61">
        <f t="shared" si="0"/>
        <v>41</v>
      </c>
      <c r="J8" s="61">
        <f t="shared" si="0"/>
        <v>10557570.220000001</v>
      </c>
      <c r="K8" s="61">
        <f t="shared" si="0"/>
        <v>41</v>
      </c>
      <c r="L8" s="61">
        <f t="shared" si="0"/>
        <v>41</v>
      </c>
      <c r="M8" s="61">
        <f t="shared" si="0"/>
        <v>10557570.220000001</v>
      </c>
      <c r="N8" s="61">
        <f t="shared" si="0"/>
        <v>33</v>
      </c>
      <c r="O8" s="61">
        <f t="shared" si="0"/>
        <v>10853347.27</v>
      </c>
      <c r="P8" s="61">
        <f t="shared" si="0"/>
        <v>0</v>
      </c>
      <c r="Q8" s="61">
        <f t="shared" si="0"/>
        <v>285239.19999999949</v>
      </c>
      <c r="R8" s="61">
        <f t="shared" si="0"/>
        <v>29</v>
      </c>
      <c r="S8" s="61">
        <f t="shared" si="0"/>
        <v>4640351.38</v>
      </c>
      <c r="T8" s="61">
        <f t="shared" si="0"/>
        <v>20</v>
      </c>
      <c r="U8" s="61">
        <f t="shared" si="0"/>
        <v>1824245.83</v>
      </c>
      <c r="V8" s="61">
        <f>SUM(V6:V7)</f>
        <v>0</v>
      </c>
      <c r="W8" s="61">
        <f t="shared" si="0"/>
        <v>0</v>
      </c>
      <c r="X8" s="61">
        <f t="shared" si="0"/>
        <v>5</v>
      </c>
      <c r="Y8" s="61">
        <f t="shared" si="0"/>
        <v>853875.61</v>
      </c>
      <c r="Z8" s="61">
        <f t="shared" si="0"/>
        <v>14</v>
      </c>
      <c r="AA8" s="61">
        <f t="shared" si="0"/>
        <v>970370.21999999986</v>
      </c>
    </row>
    <row r="9" spans="1:27" ht="19.899999999999999" customHeight="1" x14ac:dyDescent="0.25">
      <c r="A9" s="1140" t="s">
        <v>571</v>
      </c>
      <c r="B9" s="1140"/>
      <c r="C9" s="1140"/>
      <c r="D9" s="1140"/>
      <c r="E9" s="1140"/>
      <c r="F9" s="1140"/>
      <c r="G9" s="1140"/>
      <c r="H9" s="1140"/>
      <c r="I9" s="1140"/>
      <c r="J9" s="1140"/>
      <c r="K9" s="1140"/>
      <c r="L9" s="1140"/>
      <c r="M9" s="1140"/>
      <c r="N9" s="1140"/>
      <c r="O9" s="1140"/>
      <c r="P9" s="1140"/>
      <c r="Q9" s="1140"/>
      <c r="R9" s="1140"/>
      <c r="S9" s="1140"/>
      <c r="T9" s="1140"/>
      <c r="U9" s="1140"/>
      <c r="V9" s="1140"/>
      <c r="W9" s="1140"/>
      <c r="X9" s="1140"/>
      <c r="Y9" s="1140"/>
      <c r="Z9" s="1140"/>
      <c r="AA9" s="1140"/>
    </row>
    <row r="10" spans="1:27" x14ac:dyDescent="0.25">
      <c r="A10" s="44" t="s">
        <v>216</v>
      </c>
      <c r="B10" s="44"/>
    </row>
    <row r="11" spans="1:27" s="12" customFormat="1" ht="28.9" customHeight="1" x14ac:dyDescent="0.2">
      <c r="A11" s="966" t="s">
        <v>156</v>
      </c>
      <c r="B11" s="966" t="s">
        <v>282</v>
      </c>
      <c r="C11" s="966" t="s">
        <v>157</v>
      </c>
      <c r="D11" s="966" t="s">
        <v>158</v>
      </c>
      <c r="E11" s="969" t="s">
        <v>337</v>
      </c>
      <c r="F11" s="970"/>
      <c r="G11" s="969" t="s">
        <v>277</v>
      </c>
      <c r="H11" s="970"/>
      <c r="I11" s="969" t="s">
        <v>159</v>
      </c>
      <c r="J11" s="970"/>
      <c r="K11" s="976" t="s">
        <v>717</v>
      </c>
      <c r="L11" s="977"/>
      <c r="M11" s="977"/>
      <c r="N11" s="977"/>
      <c r="O11" s="978"/>
      <c r="P11" s="966" t="s">
        <v>250</v>
      </c>
      <c r="Q11" s="966" t="s">
        <v>630</v>
      </c>
      <c r="R11" s="969" t="s">
        <v>718</v>
      </c>
      <c r="S11" s="970"/>
      <c r="T11" s="969" t="s">
        <v>719</v>
      </c>
      <c r="U11" s="970"/>
      <c r="V11" s="982" t="s">
        <v>719</v>
      </c>
      <c r="W11" s="982"/>
      <c r="X11" s="982"/>
      <c r="Y11" s="982"/>
      <c r="Z11" s="982"/>
      <c r="AA11" s="982"/>
    </row>
    <row r="12" spans="1:27" s="12" customFormat="1" ht="14.45" customHeight="1" x14ac:dyDescent="0.2">
      <c r="A12" s="967"/>
      <c r="B12" s="967"/>
      <c r="C12" s="967"/>
      <c r="D12" s="967"/>
      <c r="E12" s="971"/>
      <c r="F12" s="972"/>
      <c r="G12" s="971"/>
      <c r="H12" s="972"/>
      <c r="I12" s="971"/>
      <c r="J12" s="972"/>
      <c r="K12" s="976" t="s">
        <v>160</v>
      </c>
      <c r="L12" s="977"/>
      <c r="M12" s="978"/>
      <c r="N12" s="969" t="s">
        <v>631</v>
      </c>
      <c r="O12" s="970"/>
      <c r="P12" s="967"/>
      <c r="Q12" s="967"/>
      <c r="R12" s="971"/>
      <c r="S12" s="972"/>
      <c r="T12" s="971"/>
      <c r="U12" s="972"/>
      <c r="V12" s="982"/>
      <c r="W12" s="982"/>
      <c r="X12" s="982"/>
      <c r="Y12" s="982"/>
      <c r="Z12" s="982"/>
      <c r="AA12" s="982"/>
    </row>
    <row r="13" spans="1:27" s="12" customFormat="1" ht="20.25" customHeight="1" x14ac:dyDescent="0.2">
      <c r="A13" s="967"/>
      <c r="B13" s="967"/>
      <c r="C13" s="967"/>
      <c r="D13" s="967"/>
      <c r="E13" s="973"/>
      <c r="F13" s="974"/>
      <c r="G13" s="973"/>
      <c r="H13" s="974"/>
      <c r="I13" s="973"/>
      <c r="J13" s="974"/>
      <c r="K13" s="979" t="s">
        <v>161</v>
      </c>
      <c r="L13" s="976" t="s">
        <v>247</v>
      </c>
      <c r="M13" s="978"/>
      <c r="N13" s="973"/>
      <c r="O13" s="974"/>
      <c r="P13" s="975"/>
      <c r="Q13" s="975"/>
      <c r="R13" s="973"/>
      <c r="S13" s="974"/>
      <c r="T13" s="973"/>
      <c r="U13" s="974"/>
      <c r="V13" s="982" t="s">
        <v>587</v>
      </c>
      <c r="W13" s="982"/>
      <c r="X13" s="982" t="s">
        <v>588</v>
      </c>
      <c r="Y13" s="982"/>
      <c r="Z13" s="982" t="s">
        <v>589</v>
      </c>
      <c r="AA13" s="982"/>
    </row>
    <row r="14" spans="1:27" s="12" customFormat="1" ht="21" x14ac:dyDescent="0.2">
      <c r="A14" s="968"/>
      <c r="B14" s="968"/>
      <c r="C14" s="968"/>
      <c r="D14" s="968"/>
      <c r="E14" s="160" t="s">
        <v>161</v>
      </c>
      <c r="F14" s="130" t="s">
        <v>162</v>
      </c>
      <c r="G14" s="15" t="s">
        <v>161</v>
      </c>
      <c r="H14" s="16" t="s">
        <v>162</v>
      </c>
      <c r="I14" s="160" t="s">
        <v>161</v>
      </c>
      <c r="J14" s="130" t="s">
        <v>162</v>
      </c>
      <c r="K14" s="980"/>
      <c r="L14" s="160" t="s">
        <v>161</v>
      </c>
      <c r="M14" s="130" t="s">
        <v>162</v>
      </c>
      <c r="N14" s="160" t="s">
        <v>161</v>
      </c>
      <c r="O14" s="130" t="s">
        <v>162</v>
      </c>
      <c r="P14" s="16" t="s">
        <v>162</v>
      </c>
      <c r="Q14" s="16" t="s">
        <v>162</v>
      </c>
      <c r="R14" s="15" t="s">
        <v>161</v>
      </c>
      <c r="S14" s="16" t="s">
        <v>162</v>
      </c>
      <c r="T14" s="78" t="s">
        <v>161</v>
      </c>
      <c r="U14" s="79" t="s">
        <v>162</v>
      </c>
      <c r="V14" s="227" t="s">
        <v>161</v>
      </c>
      <c r="W14" s="218" t="s">
        <v>162</v>
      </c>
      <c r="X14" s="227" t="s">
        <v>161</v>
      </c>
      <c r="Y14" s="218" t="s">
        <v>162</v>
      </c>
      <c r="Z14" s="227" t="s">
        <v>161</v>
      </c>
      <c r="AA14" s="218" t="s">
        <v>162</v>
      </c>
    </row>
    <row r="15" spans="1:27" s="23" customFormat="1" ht="22.5" x14ac:dyDescent="0.25">
      <c r="A15" s="29" t="s">
        <v>217</v>
      </c>
      <c r="B15" s="162">
        <v>16981</v>
      </c>
      <c r="C15" s="165">
        <v>6670000</v>
      </c>
      <c r="D15" s="31">
        <v>43448.999988425923</v>
      </c>
      <c r="E15" s="29">
        <v>55</v>
      </c>
      <c r="F15" s="179">
        <v>18444345.050000001</v>
      </c>
      <c r="G15" s="180">
        <v>0</v>
      </c>
      <c r="H15" s="180">
        <v>0</v>
      </c>
      <c r="I15" s="58">
        <v>23</v>
      </c>
      <c r="J15" s="82">
        <v>6720386.1799999997</v>
      </c>
      <c r="K15" s="58">
        <v>23</v>
      </c>
      <c r="L15" s="58">
        <v>23</v>
      </c>
      <c r="M15" s="82">
        <v>6720386.1799999997</v>
      </c>
      <c r="N15" s="58">
        <f>26+6</f>
        <v>32</v>
      </c>
      <c r="O15" s="82">
        <f>8393044.57+1781460</f>
        <v>10174504.57</v>
      </c>
      <c r="P15" s="91">
        <v>0</v>
      </c>
      <c r="Q15" s="91">
        <v>0</v>
      </c>
      <c r="R15" s="58">
        <v>35</v>
      </c>
      <c r="S15" s="84">
        <v>5719304.2999999989</v>
      </c>
      <c r="T15" s="58">
        <v>34</v>
      </c>
      <c r="U15" s="334">
        <v>5309861.8200000012</v>
      </c>
      <c r="V15" s="22">
        <v>0</v>
      </c>
      <c r="W15" s="22">
        <v>0</v>
      </c>
      <c r="X15" s="22">
        <v>1</v>
      </c>
      <c r="Y15" s="22">
        <v>91283</v>
      </c>
      <c r="Z15" s="22">
        <v>19</v>
      </c>
      <c r="AA15" s="22">
        <v>5218578.82</v>
      </c>
    </row>
    <row r="16" spans="1:27" x14ac:dyDescent="0.25">
      <c r="A16" s="60" t="s">
        <v>218</v>
      </c>
      <c r="B16" s="60"/>
      <c r="C16" s="61">
        <f>SUM(C15:C15)</f>
        <v>6670000</v>
      </c>
      <c r="D16" s="61"/>
      <c r="E16" s="61">
        <f t="shared" ref="E16:AA16" si="1">SUM(E15:E15)</f>
        <v>55</v>
      </c>
      <c r="F16" s="61">
        <f t="shared" si="1"/>
        <v>18444345.050000001</v>
      </c>
      <c r="G16" s="61">
        <f t="shared" si="1"/>
        <v>0</v>
      </c>
      <c r="H16" s="61">
        <f t="shared" si="1"/>
        <v>0</v>
      </c>
      <c r="I16" s="61">
        <f t="shared" si="1"/>
        <v>23</v>
      </c>
      <c r="J16" s="61">
        <f t="shared" si="1"/>
        <v>6720386.1799999997</v>
      </c>
      <c r="K16" s="61">
        <f t="shared" si="1"/>
        <v>23</v>
      </c>
      <c r="L16" s="61">
        <f t="shared" si="1"/>
        <v>23</v>
      </c>
      <c r="M16" s="61">
        <f t="shared" si="1"/>
        <v>6720386.1799999997</v>
      </c>
      <c r="N16" s="61">
        <f t="shared" si="1"/>
        <v>32</v>
      </c>
      <c r="O16" s="61">
        <f t="shared" si="1"/>
        <v>10174504.57</v>
      </c>
      <c r="P16" s="61">
        <f t="shared" si="1"/>
        <v>0</v>
      </c>
      <c r="Q16" s="61">
        <f t="shared" si="1"/>
        <v>0</v>
      </c>
      <c r="R16" s="61">
        <f t="shared" si="1"/>
        <v>35</v>
      </c>
      <c r="S16" s="61">
        <f t="shared" si="1"/>
        <v>5719304.2999999989</v>
      </c>
      <c r="T16" s="61">
        <f t="shared" si="1"/>
        <v>34</v>
      </c>
      <c r="U16" s="61">
        <f t="shared" si="1"/>
        <v>5309861.8200000012</v>
      </c>
      <c r="V16" s="20">
        <f t="shared" si="1"/>
        <v>0</v>
      </c>
      <c r="W16" s="20">
        <f t="shared" si="1"/>
        <v>0</v>
      </c>
      <c r="X16" s="20">
        <f t="shared" si="1"/>
        <v>1</v>
      </c>
      <c r="Y16" s="20">
        <f t="shared" si="1"/>
        <v>91283</v>
      </c>
      <c r="Z16" s="20">
        <f t="shared" si="1"/>
        <v>19</v>
      </c>
      <c r="AA16" s="20">
        <f t="shared" si="1"/>
        <v>5218578.82</v>
      </c>
    </row>
    <row r="17" spans="1:28" s="23" customFormat="1" ht="10.15" customHeight="1" x14ac:dyDescent="0.25">
      <c r="A17" s="401" t="s">
        <v>621</v>
      </c>
      <c r="B17" s="401"/>
      <c r="C17" s="401"/>
      <c r="D17" s="401"/>
      <c r="E17" s="401"/>
      <c r="F17" s="401"/>
      <c r="G17" s="401"/>
      <c r="H17" s="401"/>
      <c r="I17" s="401"/>
      <c r="J17" s="401"/>
      <c r="K17" s="401"/>
      <c r="L17" s="401"/>
      <c r="M17" s="401"/>
      <c r="N17" s="401"/>
      <c r="Q17" s="415"/>
    </row>
    <row r="18" spans="1:28" ht="9.6" customHeight="1" x14ac:dyDescent="0.25">
      <c r="A18" s="12"/>
      <c r="B18" s="12"/>
    </row>
    <row r="19" spans="1:28" ht="25.9" customHeight="1" x14ac:dyDescent="0.25">
      <c r="A19" s="1008" t="s">
        <v>219</v>
      </c>
      <c r="B19" s="1008"/>
      <c r="C19" s="1008"/>
      <c r="D19" s="1008"/>
      <c r="E19" s="1008"/>
      <c r="F19" s="1008"/>
      <c r="G19" s="1008"/>
      <c r="H19" s="1008"/>
      <c r="I19" s="1008"/>
      <c r="J19" s="1008"/>
      <c r="K19" s="1008"/>
      <c r="L19" s="1008"/>
      <c r="M19" s="1008"/>
      <c r="N19" s="1008"/>
      <c r="O19" s="1008"/>
      <c r="P19" s="1008"/>
      <c r="Q19" s="1008"/>
      <c r="R19" s="1008"/>
      <c r="S19" s="1008"/>
      <c r="T19" s="1008"/>
      <c r="U19" s="1008"/>
      <c r="V19" s="1008"/>
      <c r="W19" s="1008"/>
      <c r="X19" s="1008"/>
      <c r="Y19" s="1008"/>
      <c r="Z19" s="1008"/>
      <c r="AA19" s="1008"/>
    </row>
    <row r="20" spans="1:28" s="12" customFormat="1" ht="28.9" customHeight="1" x14ac:dyDescent="0.2">
      <c r="A20" s="966" t="s">
        <v>156</v>
      </c>
      <c r="B20" s="966" t="s">
        <v>282</v>
      </c>
      <c r="C20" s="966" t="s">
        <v>157</v>
      </c>
      <c r="D20" s="966" t="s">
        <v>158</v>
      </c>
      <c r="E20" s="969" t="s">
        <v>337</v>
      </c>
      <c r="F20" s="970"/>
      <c r="G20" s="969" t="s">
        <v>277</v>
      </c>
      <c r="H20" s="970"/>
      <c r="I20" s="969" t="s">
        <v>159</v>
      </c>
      <c r="J20" s="970"/>
      <c r="K20" s="976" t="s">
        <v>717</v>
      </c>
      <c r="L20" s="977"/>
      <c r="M20" s="977"/>
      <c r="N20" s="977"/>
      <c r="O20" s="978"/>
      <c r="P20" s="966" t="s">
        <v>250</v>
      </c>
      <c r="Q20" s="966" t="s">
        <v>630</v>
      </c>
      <c r="R20" s="969" t="s">
        <v>718</v>
      </c>
      <c r="S20" s="970"/>
      <c r="T20" s="969" t="s">
        <v>719</v>
      </c>
      <c r="U20" s="970"/>
      <c r="V20" s="982" t="s">
        <v>719</v>
      </c>
      <c r="W20" s="982"/>
      <c r="X20" s="982"/>
      <c r="Y20" s="982"/>
      <c r="Z20" s="982"/>
      <c r="AA20" s="982"/>
    </row>
    <row r="21" spans="1:28" s="12" customFormat="1" ht="14.45" customHeight="1" x14ac:dyDescent="0.2">
      <c r="A21" s="967"/>
      <c r="B21" s="967"/>
      <c r="C21" s="967"/>
      <c r="D21" s="967"/>
      <c r="E21" s="971"/>
      <c r="F21" s="972"/>
      <c r="G21" s="971"/>
      <c r="H21" s="972"/>
      <c r="I21" s="971"/>
      <c r="J21" s="972"/>
      <c r="K21" s="976" t="s">
        <v>160</v>
      </c>
      <c r="L21" s="977"/>
      <c r="M21" s="978"/>
      <c r="N21" s="969" t="s">
        <v>631</v>
      </c>
      <c r="O21" s="970"/>
      <c r="P21" s="967"/>
      <c r="Q21" s="967"/>
      <c r="R21" s="971"/>
      <c r="S21" s="972"/>
      <c r="T21" s="971"/>
      <c r="U21" s="972"/>
      <c r="V21" s="982"/>
      <c r="W21" s="982"/>
      <c r="X21" s="982"/>
      <c r="Y21" s="982"/>
      <c r="Z21" s="982"/>
      <c r="AA21" s="982"/>
    </row>
    <row r="22" spans="1:28" s="12" customFormat="1" ht="20.25" customHeight="1" x14ac:dyDescent="0.2">
      <c r="A22" s="967"/>
      <c r="B22" s="967"/>
      <c r="C22" s="967"/>
      <c r="D22" s="967"/>
      <c r="E22" s="973"/>
      <c r="F22" s="974"/>
      <c r="G22" s="973"/>
      <c r="H22" s="974"/>
      <c r="I22" s="973"/>
      <c r="J22" s="974"/>
      <c r="K22" s="979" t="s">
        <v>161</v>
      </c>
      <c r="L22" s="976" t="s">
        <v>247</v>
      </c>
      <c r="M22" s="978"/>
      <c r="N22" s="973"/>
      <c r="O22" s="974"/>
      <c r="P22" s="975"/>
      <c r="Q22" s="975"/>
      <c r="R22" s="973"/>
      <c r="S22" s="974"/>
      <c r="T22" s="973"/>
      <c r="U22" s="974"/>
      <c r="V22" s="982" t="s">
        <v>587</v>
      </c>
      <c r="W22" s="982"/>
      <c r="X22" s="982" t="s">
        <v>588</v>
      </c>
      <c r="Y22" s="982"/>
      <c r="Z22" s="982" t="s">
        <v>589</v>
      </c>
      <c r="AA22" s="982"/>
    </row>
    <row r="23" spans="1:28" s="12" customFormat="1" ht="21" x14ac:dyDescent="0.2">
      <c r="A23" s="968"/>
      <c r="B23" s="968"/>
      <c r="C23" s="968"/>
      <c r="D23" s="968"/>
      <c r="E23" s="160" t="s">
        <v>161</v>
      </c>
      <c r="F23" s="130" t="s">
        <v>162</v>
      </c>
      <c r="G23" s="15" t="s">
        <v>161</v>
      </c>
      <c r="H23" s="16" t="s">
        <v>162</v>
      </c>
      <c r="I23" s="160" t="s">
        <v>161</v>
      </c>
      <c r="J23" s="130" t="s">
        <v>162</v>
      </c>
      <c r="K23" s="980"/>
      <c r="L23" s="160" t="s">
        <v>161</v>
      </c>
      <c r="M23" s="130" t="s">
        <v>162</v>
      </c>
      <c r="N23" s="160" t="s">
        <v>161</v>
      </c>
      <c r="O23" s="130" t="s">
        <v>162</v>
      </c>
      <c r="P23" s="16" t="s">
        <v>162</v>
      </c>
      <c r="Q23" s="16" t="s">
        <v>162</v>
      </c>
      <c r="R23" s="15" t="s">
        <v>161</v>
      </c>
      <c r="S23" s="16" t="s">
        <v>162</v>
      </c>
      <c r="T23" s="78" t="s">
        <v>161</v>
      </c>
      <c r="U23" s="79" t="s">
        <v>162</v>
      </c>
      <c r="V23" s="227" t="s">
        <v>161</v>
      </c>
      <c r="W23" s="218" t="s">
        <v>162</v>
      </c>
      <c r="X23" s="227" t="s">
        <v>161</v>
      </c>
      <c r="Y23" s="218" t="s">
        <v>162</v>
      </c>
      <c r="Z23" s="227" t="s">
        <v>161</v>
      </c>
      <c r="AA23" s="218" t="s">
        <v>162</v>
      </c>
    </row>
    <row r="24" spans="1:28" s="23" customFormat="1" ht="22.5" x14ac:dyDescent="0.25">
      <c r="A24" s="29" t="s">
        <v>104</v>
      </c>
      <c r="B24" s="162">
        <v>14721</v>
      </c>
      <c r="C24" s="98">
        <v>3020000</v>
      </c>
      <c r="D24" s="31">
        <v>43395.999988425923</v>
      </c>
      <c r="E24" s="29">
        <v>43</v>
      </c>
      <c r="F24" s="179">
        <v>8710411.5700000022</v>
      </c>
      <c r="G24" s="180">
        <v>2</v>
      </c>
      <c r="H24" s="180">
        <v>247751.91000000015</v>
      </c>
      <c r="I24" s="29">
        <v>14</v>
      </c>
      <c r="J24" s="98">
        <v>2757876.76</v>
      </c>
      <c r="K24" s="58">
        <v>14</v>
      </c>
      <c r="L24" s="58">
        <v>14</v>
      </c>
      <c r="M24" s="82">
        <f>3881096.69-1123219.93</f>
        <v>2757876.76</v>
      </c>
      <c r="N24" s="58">
        <f>19+8</f>
        <v>27</v>
      </c>
      <c r="O24" s="82">
        <f>3954043.15+424563+1123219.93</f>
        <v>5501826.0800000001</v>
      </c>
      <c r="P24" s="91">
        <v>0</v>
      </c>
      <c r="Q24" s="91">
        <f>C24-M24</f>
        <v>262123.24000000022</v>
      </c>
      <c r="R24" s="58">
        <v>11</v>
      </c>
      <c r="S24" s="82">
        <v>1623681.9899999998</v>
      </c>
      <c r="T24" s="58">
        <v>6</v>
      </c>
      <c r="U24" s="22">
        <v>769145.20000000007</v>
      </c>
      <c r="V24" s="22">
        <v>0</v>
      </c>
      <c r="W24" s="22">
        <v>0</v>
      </c>
      <c r="X24" s="22">
        <v>1</v>
      </c>
      <c r="Y24" s="22">
        <v>125500</v>
      </c>
      <c r="Z24" s="22">
        <v>3</v>
      </c>
      <c r="AA24" s="22">
        <v>643645.19999999995</v>
      </c>
      <c r="AB24" s="287"/>
    </row>
    <row r="25" spans="1:28" x14ac:dyDescent="0.25">
      <c r="A25" s="60" t="s">
        <v>220</v>
      </c>
      <c r="B25" s="60"/>
      <c r="C25" s="61">
        <f>SUM(C24:C24)</f>
        <v>3020000</v>
      </c>
      <c r="D25" s="61"/>
      <c r="E25" s="61">
        <f t="shared" ref="E25:AA25" si="2">SUM(E24:E24)</f>
        <v>43</v>
      </c>
      <c r="F25" s="61">
        <f t="shared" si="2"/>
        <v>8710411.5700000022</v>
      </c>
      <c r="G25" s="61">
        <f t="shared" si="2"/>
        <v>2</v>
      </c>
      <c r="H25" s="61">
        <f t="shared" si="2"/>
        <v>247751.91000000015</v>
      </c>
      <c r="I25" s="61">
        <f t="shared" si="2"/>
        <v>14</v>
      </c>
      <c r="J25" s="61">
        <f t="shared" si="2"/>
        <v>2757876.76</v>
      </c>
      <c r="K25" s="61">
        <f t="shared" si="2"/>
        <v>14</v>
      </c>
      <c r="L25" s="61">
        <f t="shared" si="2"/>
        <v>14</v>
      </c>
      <c r="M25" s="61">
        <f t="shared" si="2"/>
        <v>2757876.76</v>
      </c>
      <c r="N25" s="61">
        <f t="shared" si="2"/>
        <v>27</v>
      </c>
      <c r="O25" s="61">
        <f t="shared" si="2"/>
        <v>5501826.0800000001</v>
      </c>
      <c r="P25" s="61">
        <f t="shared" si="2"/>
        <v>0</v>
      </c>
      <c r="Q25" s="61">
        <f t="shared" si="2"/>
        <v>262123.24000000022</v>
      </c>
      <c r="R25" s="61">
        <f t="shared" si="2"/>
        <v>11</v>
      </c>
      <c r="S25" s="61">
        <v>523</v>
      </c>
      <c r="T25" s="61">
        <f t="shared" si="2"/>
        <v>6</v>
      </c>
      <c r="U25" s="61">
        <f t="shared" si="2"/>
        <v>769145.20000000007</v>
      </c>
      <c r="V25" s="20">
        <f t="shared" si="2"/>
        <v>0</v>
      </c>
      <c r="W25" s="20">
        <f t="shared" si="2"/>
        <v>0</v>
      </c>
      <c r="X25" s="20">
        <f t="shared" si="2"/>
        <v>1</v>
      </c>
      <c r="Y25" s="20">
        <f t="shared" si="2"/>
        <v>125500</v>
      </c>
      <c r="Z25" s="20">
        <f t="shared" si="2"/>
        <v>3</v>
      </c>
      <c r="AA25" s="20">
        <f t="shared" si="2"/>
        <v>643645.19999999995</v>
      </c>
    </row>
    <row r="26" spans="1:28" ht="13.15" customHeight="1" x14ac:dyDescent="0.25">
      <c r="A26" s="219" t="s">
        <v>390</v>
      </c>
      <c r="B26" s="140"/>
      <c r="C26" s="140"/>
      <c r="D26" s="140"/>
      <c r="E26" s="140"/>
      <c r="F26" s="140"/>
      <c r="G26" s="140"/>
      <c r="H26" s="140"/>
      <c r="I26" s="140"/>
      <c r="J26" s="140"/>
      <c r="K26" s="140"/>
      <c r="L26" s="140"/>
      <c r="M26" s="140"/>
      <c r="N26" s="140"/>
      <c r="O26" s="140"/>
      <c r="P26" s="140"/>
      <c r="Q26" s="416"/>
      <c r="R26" s="140"/>
      <c r="S26" s="140"/>
    </row>
    <row r="27" spans="1:28" ht="18" customHeight="1" x14ac:dyDescent="0.25">
      <c r="A27" s="981" t="s">
        <v>732</v>
      </c>
      <c r="B27" s="981"/>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row>
    <row r="28" spans="1:28" ht="15" customHeight="1" x14ac:dyDescent="0.25">
      <c r="A28" s="190"/>
      <c r="B28" s="190"/>
      <c r="C28" s="190"/>
      <c r="D28" s="190"/>
      <c r="E28" s="190"/>
      <c r="F28" s="190"/>
      <c r="G28" s="190"/>
      <c r="H28" s="190"/>
      <c r="I28" s="190"/>
      <c r="J28" s="190"/>
      <c r="K28" s="190"/>
      <c r="L28" s="190"/>
      <c r="M28" s="190"/>
      <c r="N28" s="190"/>
      <c r="O28" s="190"/>
      <c r="P28" s="190"/>
      <c r="Q28" s="190"/>
      <c r="R28" s="190"/>
      <c r="S28" s="190"/>
      <c r="T28" s="190"/>
      <c r="U28" s="190"/>
    </row>
    <row r="29" spans="1:28" ht="26.45" customHeight="1" x14ac:dyDescent="0.25">
      <c r="A29" s="1007" t="s">
        <v>221</v>
      </c>
      <c r="B29" s="1007"/>
      <c r="C29" s="1007"/>
      <c r="D29" s="1007"/>
      <c r="E29" s="1007"/>
      <c r="F29" s="1007"/>
      <c r="G29" s="1007"/>
      <c r="H29" s="1007"/>
      <c r="I29" s="1007"/>
      <c r="J29" s="1007"/>
      <c r="K29" s="1007"/>
      <c r="L29" s="1007"/>
      <c r="M29" s="1007"/>
      <c r="N29" s="1007"/>
      <c r="O29" s="1007"/>
      <c r="P29" s="1007"/>
      <c r="Q29" s="1007"/>
      <c r="R29" s="1007"/>
      <c r="S29" s="1007"/>
      <c r="T29" s="1007"/>
      <c r="U29" s="1007"/>
      <c r="V29" s="1007"/>
      <c r="W29" s="1007"/>
      <c r="X29" s="1007"/>
      <c r="Y29" s="1007"/>
      <c r="Z29" s="1007"/>
      <c r="AA29" s="1007"/>
    </row>
    <row r="30" spans="1:28" s="12" customFormat="1" ht="28.9" customHeight="1" x14ac:dyDescent="0.2">
      <c r="A30" s="966" t="s">
        <v>156</v>
      </c>
      <c r="B30" s="966" t="s">
        <v>282</v>
      </c>
      <c r="C30" s="966" t="s">
        <v>157</v>
      </c>
      <c r="D30" s="966" t="s">
        <v>158</v>
      </c>
      <c r="E30" s="969" t="s">
        <v>337</v>
      </c>
      <c r="F30" s="970"/>
      <c r="G30" s="969" t="s">
        <v>277</v>
      </c>
      <c r="H30" s="970"/>
      <c r="I30" s="969" t="s">
        <v>159</v>
      </c>
      <c r="J30" s="970"/>
      <c r="K30" s="976" t="s">
        <v>717</v>
      </c>
      <c r="L30" s="977"/>
      <c r="M30" s="977"/>
      <c r="N30" s="977"/>
      <c r="O30" s="978"/>
      <c r="P30" s="966" t="s">
        <v>250</v>
      </c>
      <c r="Q30" s="966" t="s">
        <v>630</v>
      </c>
      <c r="R30" s="969" t="s">
        <v>718</v>
      </c>
      <c r="S30" s="970"/>
      <c r="T30" s="969" t="s">
        <v>719</v>
      </c>
      <c r="U30" s="970"/>
      <c r="V30" s="982" t="s">
        <v>719</v>
      </c>
      <c r="W30" s="982"/>
      <c r="X30" s="982"/>
      <c r="Y30" s="982"/>
      <c r="Z30" s="982"/>
      <c r="AA30" s="982"/>
    </row>
    <row r="31" spans="1:28" s="12" customFormat="1" ht="14.45" customHeight="1" x14ac:dyDescent="0.2">
      <c r="A31" s="967"/>
      <c r="B31" s="967"/>
      <c r="C31" s="967"/>
      <c r="D31" s="967"/>
      <c r="E31" s="971"/>
      <c r="F31" s="972"/>
      <c r="G31" s="971"/>
      <c r="H31" s="972"/>
      <c r="I31" s="971"/>
      <c r="J31" s="972"/>
      <c r="K31" s="976" t="s">
        <v>160</v>
      </c>
      <c r="L31" s="977"/>
      <c r="M31" s="978"/>
      <c r="N31" s="969" t="s">
        <v>631</v>
      </c>
      <c r="O31" s="970"/>
      <c r="P31" s="967"/>
      <c r="Q31" s="967"/>
      <c r="R31" s="971"/>
      <c r="S31" s="972"/>
      <c r="T31" s="971"/>
      <c r="U31" s="972"/>
      <c r="V31" s="982"/>
      <c r="W31" s="982"/>
      <c r="X31" s="982"/>
      <c r="Y31" s="982"/>
      <c r="Z31" s="982"/>
      <c r="AA31" s="982"/>
    </row>
    <row r="32" spans="1:28" s="12" customFormat="1" ht="20.25" customHeight="1" x14ac:dyDescent="0.2">
      <c r="A32" s="967"/>
      <c r="B32" s="967"/>
      <c r="C32" s="967"/>
      <c r="D32" s="967"/>
      <c r="E32" s="973"/>
      <c r="F32" s="974"/>
      <c r="G32" s="973"/>
      <c r="H32" s="974"/>
      <c r="I32" s="973"/>
      <c r="J32" s="974"/>
      <c r="K32" s="979" t="s">
        <v>161</v>
      </c>
      <c r="L32" s="976" t="s">
        <v>247</v>
      </c>
      <c r="M32" s="978"/>
      <c r="N32" s="973"/>
      <c r="O32" s="974"/>
      <c r="P32" s="975"/>
      <c r="Q32" s="975"/>
      <c r="R32" s="973"/>
      <c r="S32" s="974"/>
      <c r="T32" s="973"/>
      <c r="U32" s="974"/>
      <c r="V32" s="982" t="s">
        <v>587</v>
      </c>
      <c r="W32" s="982"/>
      <c r="X32" s="982" t="s">
        <v>588</v>
      </c>
      <c r="Y32" s="982"/>
      <c r="Z32" s="982" t="s">
        <v>589</v>
      </c>
      <c r="AA32" s="982"/>
    </row>
    <row r="33" spans="1:28" s="12" customFormat="1" ht="21" x14ac:dyDescent="0.2">
      <c r="A33" s="968"/>
      <c r="B33" s="968"/>
      <c r="C33" s="968"/>
      <c r="D33" s="968"/>
      <c r="E33" s="160" t="s">
        <v>161</v>
      </c>
      <c r="F33" s="130" t="s">
        <v>162</v>
      </c>
      <c r="G33" s="15" t="s">
        <v>161</v>
      </c>
      <c r="H33" s="16" t="s">
        <v>162</v>
      </c>
      <c r="I33" s="160" t="s">
        <v>161</v>
      </c>
      <c r="J33" s="130" t="s">
        <v>162</v>
      </c>
      <c r="K33" s="980"/>
      <c r="L33" s="160" t="s">
        <v>161</v>
      </c>
      <c r="M33" s="130" t="s">
        <v>162</v>
      </c>
      <c r="N33" s="160" t="s">
        <v>161</v>
      </c>
      <c r="O33" s="130" t="s">
        <v>162</v>
      </c>
      <c r="P33" s="16" t="s">
        <v>162</v>
      </c>
      <c r="Q33" s="16" t="s">
        <v>162</v>
      </c>
      <c r="R33" s="15" t="s">
        <v>161</v>
      </c>
      <c r="S33" s="16" t="s">
        <v>162</v>
      </c>
      <c r="T33" s="78" t="s">
        <v>161</v>
      </c>
      <c r="U33" s="79" t="s">
        <v>162</v>
      </c>
      <c r="V33" s="227" t="s">
        <v>161</v>
      </c>
      <c r="W33" s="218" t="s">
        <v>162</v>
      </c>
      <c r="X33" s="227" t="s">
        <v>161</v>
      </c>
      <c r="Y33" s="218" t="s">
        <v>162</v>
      </c>
      <c r="Z33" s="227" t="s">
        <v>161</v>
      </c>
      <c r="AA33" s="218" t="s">
        <v>162</v>
      </c>
    </row>
    <row r="34" spans="1:28" s="23" customFormat="1" ht="45" x14ac:dyDescent="0.25">
      <c r="A34" s="29" t="s">
        <v>222</v>
      </c>
      <c r="B34" s="29">
        <v>24263</v>
      </c>
      <c r="C34" s="165">
        <v>1880000</v>
      </c>
      <c r="D34" s="358">
        <v>43769.999988425923</v>
      </c>
      <c r="E34" s="21">
        <v>21</v>
      </c>
      <c r="F34" s="179">
        <v>4451649.54</v>
      </c>
      <c r="G34" s="138">
        <v>0</v>
      </c>
      <c r="H34" s="138">
        <v>0</v>
      </c>
      <c r="I34" s="29">
        <v>11</v>
      </c>
      <c r="J34" s="165">
        <v>1880000</v>
      </c>
      <c r="K34" s="388">
        <v>4</v>
      </c>
      <c r="L34" s="58">
        <v>3</v>
      </c>
      <c r="M34" s="82">
        <v>568352.41</v>
      </c>
      <c r="N34" s="58">
        <v>6</v>
      </c>
      <c r="O34" s="82">
        <v>1312327.1400000001</v>
      </c>
      <c r="P34" s="41">
        <f>J34-M34</f>
        <v>1311647.5899999999</v>
      </c>
      <c r="Q34" s="91">
        <v>0</v>
      </c>
      <c r="R34" s="58">
        <v>0</v>
      </c>
      <c r="S34" s="58">
        <v>0</v>
      </c>
      <c r="T34" s="58">
        <v>0</v>
      </c>
      <c r="U34" s="58">
        <v>0</v>
      </c>
      <c r="V34" s="22">
        <v>0</v>
      </c>
      <c r="W34" s="22">
        <v>0</v>
      </c>
      <c r="X34" s="22">
        <v>0</v>
      </c>
      <c r="Y34" s="22">
        <v>0</v>
      </c>
      <c r="Z34" s="22">
        <v>0</v>
      </c>
      <c r="AA34" s="22">
        <v>0</v>
      </c>
      <c r="AB34" s="287"/>
    </row>
    <row r="35" spans="1:28" x14ac:dyDescent="0.25">
      <c r="A35" s="60" t="s">
        <v>223</v>
      </c>
      <c r="B35" s="60"/>
      <c r="C35" s="61">
        <f>SUM(C34:C34)</f>
        <v>1880000</v>
      </c>
      <c r="D35" s="61"/>
      <c r="E35" s="61">
        <f t="shared" ref="E35:AA35" si="3">SUM(E34:E34)</f>
        <v>21</v>
      </c>
      <c r="F35" s="61">
        <f t="shared" si="3"/>
        <v>4451649.54</v>
      </c>
      <c r="G35" s="61">
        <f t="shared" si="3"/>
        <v>0</v>
      </c>
      <c r="H35" s="61">
        <f t="shared" si="3"/>
        <v>0</v>
      </c>
      <c r="I35" s="61">
        <f t="shared" si="3"/>
        <v>11</v>
      </c>
      <c r="J35" s="61">
        <f t="shared" si="3"/>
        <v>1880000</v>
      </c>
      <c r="K35" s="61">
        <f t="shared" si="3"/>
        <v>4</v>
      </c>
      <c r="L35" s="61">
        <f t="shared" si="3"/>
        <v>3</v>
      </c>
      <c r="M35" s="61">
        <f t="shared" si="3"/>
        <v>568352.41</v>
      </c>
      <c r="N35" s="61">
        <f t="shared" si="3"/>
        <v>6</v>
      </c>
      <c r="O35" s="61">
        <f t="shared" si="3"/>
        <v>1312327.1400000001</v>
      </c>
      <c r="P35" s="61">
        <f t="shared" si="3"/>
        <v>1311647.5899999999</v>
      </c>
      <c r="Q35" s="61">
        <f t="shared" si="3"/>
        <v>0</v>
      </c>
      <c r="R35" s="61">
        <f t="shared" si="3"/>
        <v>0</v>
      </c>
      <c r="S35" s="61">
        <f t="shared" si="3"/>
        <v>0</v>
      </c>
      <c r="T35" s="61">
        <f t="shared" si="3"/>
        <v>0</v>
      </c>
      <c r="U35" s="61">
        <f t="shared" si="3"/>
        <v>0</v>
      </c>
      <c r="V35" s="20">
        <f t="shared" si="3"/>
        <v>0</v>
      </c>
      <c r="W35" s="20">
        <f t="shared" si="3"/>
        <v>0</v>
      </c>
      <c r="X35" s="20">
        <f t="shared" si="3"/>
        <v>0</v>
      </c>
      <c r="Y35" s="20">
        <f t="shared" si="3"/>
        <v>0</v>
      </c>
      <c r="Z35" s="20">
        <f t="shared" si="3"/>
        <v>0</v>
      </c>
      <c r="AA35" s="20">
        <f t="shared" si="3"/>
        <v>0</v>
      </c>
    </row>
    <row r="36" spans="1:28" s="23" customFormat="1" ht="12" customHeight="1" x14ac:dyDescent="0.25">
      <c r="A36" s="123"/>
      <c r="B36" s="123"/>
      <c r="C36" s="124"/>
      <c r="D36" s="124"/>
      <c r="E36" s="124"/>
      <c r="F36" s="124"/>
      <c r="G36" s="124"/>
      <c r="H36" s="124"/>
      <c r="I36" s="124"/>
      <c r="J36" s="124"/>
      <c r="K36" s="124"/>
      <c r="L36" s="124"/>
      <c r="M36" s="124"/>
      <c r="N36" s="124"/>
      <c r="O36" s="124"/>
      <c r="P36" s="124"/>
      <c r="Q36" s="124"/>
      <c r="R36" s="124"/>
      <c r="S36" s="124"/>
      <c r="T36" s="124"/>
      <c r="U36" s="124"/>
    </row>
    <row r="37" spans="1:28" x14ac:dyDescent="0.25">
      <c r="A37" s="1141" t="s">
        <v>224</v>
      </c>
      <c r="B37" s="1141"/>
      <c r="C37" s="1141"/>
      <c r="D37" s="1141"/>
      <c r="E37" s="1141"/>
      <c r="F37" s="1141"/>
      <c r="G37" s="1141"/>
      <c r="H37" s="1141"/>
      <c r="I37" s="1141"/>
      <c r="J37" s="1141"/>
      <c r="K37" s="1141"/>
      <c r="L37" s="1141"/>
      <c r="M37" s="1141"/>
      <c r="N37" s="1141"/>
      <c r="O37" s="1141"/>
      <c r="P37" s="1141"/>
      <c r="Q37" s="1141"/>
      <c r="R37" s="1141"/>
      <c r="S37" s="1141"/>
      <c r="T37" s="1141"/>
      <c r="U37" s="1141"/>
    </row>
    <row r="38" spans="1:28" s="12" customFormat="1" ht="28.9" customHeight="1" x14ac:dyDescent="0.2">
      <c r="A38" s="966" t="s">
        <v>156</v>
      </c>
      <c r="B38" s="966" t="s">
        <v>282</v>
      </c>
      <c r="C38" s="966" t="s">
        <v>157</v>
      </c>
      <c r="D38" s="966" t="s">
        <v>158</v>
      </c>
      <c r="E38" s="969" t="s">
        <v>337</v>
      </c>
      <c r="F38" s="970"/>
      <c r="G38" s="969" t="s">
        <v>277</v>
      </c>
      <c r="H38" s="970"/>
      <c r="I38" s="969" t="s">
        <v>159</v>
      </c>
      <c r="J38" s="970"/>
      <c r="K38" s="976" t="s">
        <v>717</v>
      </c>
      <c r="L38" s="977"/>
      <c r="M38" s="977"/>
      <c r="N38" s="977"/>
      <c r="O38" s="978"/>
      <c r="P38" s="966" t="s">
        <v>250</v>
      </c>
      <c r="Q38" s="966" t="s">
        <v>630</v>
      </c>
      <c r="R38" s="969" t="s">
        <v>718</v>
      </c>
      <c r="S38" s="970"/>
      <c r="T38" s="969" t="s">
        <v>719</v>
      </c>
      <c r="U38" s="970"/>
      <c r="V38" s="982" t="s">
        <v>719</v>
      </c>
      <c r="W38" s="982"/>
      <c r="X38" s="982"/>
      <c r="Y38" s="982"/>
      <c r="Z38" s="982"/>
      <c r="AA38" s="982"/>
    </row>
    <row r="39" spans="1:28" s="12" customFormat="1" ht="14.45" customHeight="1" x14ac:dyDescent="0.2">
      <c r="A39" s="967"/>
      <c r="B39" s="967"/>
      <c r="C39" s="967"/>
      <c r="D39" s="967"/>
      <c r="E39" s="971"/>
      <c r="F39" s="972"/>
      <c r="G39" s="971"/>
      <c r="H39" s="972"/>
      <c r="I39" s="971"/>
      <c r="J39" s="972"/>
      <c r="K39" s="976" t="s">
        <v>160</v>
      </c>
      <c r="L39" s="977"/>
      <c r="M39" s="978"/>
      <c r="N39" s="969" t="s">
        <v>631</v>
      </c>
      <c r="O39" s="970"/>
      <c r="P39" s="967"/>
      <c r="Q39" s="967"/>
      <c r="R39" s="971"/>
      <c r="S39" s="972"/>
      <c r="T39" s="971"/>
      <c r="U39" s="972"/>
      <c r="V39" s="982"/>
      <c r="W39" s="982"/>
      <c r="X39" s="982"/>
      <c r="Y39" s="982"/>
      <c r="Z39" s="982"/>
      <c r="AA39" s="982"/>
    </row>
    <row r="40" spans="1:28" s="12" customFormat="1" ht="20.25" customHeight="1" x14ac:dyDescent="0.2">
      <c r="A40" s="967"/>
      <c r="B40" s="967"/>
      <c r="C40" s="967"/>
      <c r="D40" s="967"/>
      <c r="E40" s="973"/>
      <c r="F40" s="974"/>
      <c r="G40" s="973"/>
      <c r="H40" s="974"/>
      <c r="I40" s="973"/>
      <c r="J40" s="974"/>
      <c r="K40" s="979" t="s">
        <v>161</v>
      </c>
      <c r="L40" s="976" t="s">
        <v>247</v>
      </c>
      <c r="M40" s="978"/>
      <c r="N40" s="973"/>
      <c r="O40" s="974"/>
      <c r="P40" s="975"/>
      <c r="Q40" s="975"/>
      <c r="R40" s="973"/>
      <c r="S40" s="974"/>
      <c r="T40" s="973"/>
      <c r="U40" s="974"/>
      <c r="V40" s="982" t="s">
        <v>587</v>
      </c>
      <c r="W40" s="982"/>
      <c r="X40" s="982" t="s">
        <v>588</v>
      </c>
      <c r="Y40" s="982"/>
      <c r="Z40" s="982" t="s">
        <v>589</v>
      </c>
      <c r="AA40" s="982"/>
    </row>
    <row r="41" spans="1:28" s="12" customFormat="1" ht="21" x14ac:dyDescent="0.2">
      <c r="A41" s="968"/>
      <c r="B41" s="968"/>
      <c r="C41" s="968"/>
      <c r="D41" s="968"/>
      <c r="E41" s="160" t="s">
        <v>161</v>
      </c>
      <c r="F41" s="130" t="s">
        <v>162</v>
      </c>
      <c r="G41" s="15" t="s">
        <v>161</v>
      </c>
      <c r="H41" s="16" t="s">
        <v>162</v>
      </c>
      <c r="I41" s="160" t="s">
        <v>161</v>
      </c>
      <c r="J41" s="130" t="s">
        <v>162</v>
      </c>
      <c r="K41" s="980"/>
      <c r="L41" s="160" t="s">
        <v>161</v>
      </c>
      <c r="M41" s="130" t="s">
        <v>162</v>
      </c>
      <c r="N41" s="160" t="s">
        <v>161</v>
      </c>
      <c r="O41" s="130" t="s">
        <v>162</v>
      </c>
      <c r="P41" s="16" t="s">
        <v>162</v>
      </c>
      <c r="Q41" s="16" t="s">
        <v>162</v>
      </c>
      <c r="R41" s="15" t="s">
        <v>161</v>
      </c>
      <c r="S41" s="16" t="s">
        <v>162</v>
      </c>
      <c r="T41" s="78" t="s">
        <v>161</v>
      </c>
      <c r="U41" s="79" t="s">
        <v>162</v>
      </c>
      <c r="V41" s="227" t="s">
        <v>161</v>
      </c>
      <c r="W41" s="218" t="s">
        <v>162</v>
      </c>
      <c r="X41" s="227" t="s">
        <v>161</v>
      </c>
      <c r="Y41" s="218" t="s">
        <v>162</v>
      </c>
      <c r="Z41" s="227" t="s">
        <v>161</v>
      </c>
      <c r="AA41" s="218" t="s">
        <v>162</v>
      </c>
    </row>
    <row r="42" spans="1:28" s="23" customFormat="1" ht="33.75" x14ac:dyDescent="0.25">
      <c r="A42" s="21" t="s">
        <v>106</v>
      </c>
      <c r="B42" s="21">
        <v>2801</v>
      </c>
      <c r="C42" s="30">
        <v>334626</v>
      </c>
      <c r="D42" s="26">
        <v>43008</v>
      </c>
      <c r="E42" s="21">
        <v>18</v>
      </c>
      <c r="F42" s="41">
        <v>2034626.62</v>
      </c>
      <c r="G42" s="343">
        <v>0</v>
      </c>
      <c r="H42" s="343">
        <v>0</v>
      </c>
      <c r="I42" s="21">
        <v>1</v>
      </c>
      <c r="J42" s="30">
        <v>64253</v>
      </c>
      <c r="K42" s="143">
        <v>1</v>
      </c>
      <c r="L42" s="143">
        <v>1</v>
      </c>
      <c r="M42" s="534">
        <v>64253</v>
      </c>
      <c r="N42" s="143">
        <v>17</v>
      </c>
      <c r="O42" s="359">
        <v>1970373.62</v>
      </c>
      <c r="P42" s="91">
        <f>J42-M42</f>
        <v>0</v>
      </c>
      <c r="Q42" s="91">
        <f>C42-J42</f>
        <v>270373</v>
      </c>
      <c r="R42" s="58">
        <v>1</v>
      </c>
      <c r="S42" s="82">
        <v>63312.88</v>
      </c>
      <c r="T42" s="58">
        <v>0</v>
      </c>
      <c r="U42" s="58">
        <v>0</v>
      </c>
      <c r="V42" s="22">
        <v>0</v>
      </c>
      <c r="W42" s="22">
        <v>0</v>
      </c>
      <c r="X42" s="22">
        <v>0</v>
      </c>
      <c r="Y42" s="22">
        <v>0</v>
      </c>
      <c r="Z42" s="22">
        <v>0</v>
      </c>
      <c r="AA42" s="22">
        <v>0</v>
      </c>
    </row>
    <row r="43" spans="1:28" x14ac:dyDescent="0.25">
      <c r="A43" s="60" t="s">
        <v>225</v>
      </c>
      <c r="B43" s="60"/>
      <c r="C43" s="61">
        <f>SUM(C42:C42)</f>
        <v>334626</v>
      </c>
      <c r="D43" s="61"/>
      <c r="E43" s="61">
        <f t="shared" ref="E43:AA43" si="4">SUM(E42:E42)</f>
        <v>18</v>
      </c>
      <c r="F43" s="61">
        <f t="shared" si="4"/>
        <v>2034626.62</v>
      </c>
      <c r="G43" s="61">
        <f t="shared" si="4"/>
        <v>0</v>
      </c>
      <c r="H43" s="61">
        <f t="shared" si="4"/>
        <v>0</v>
      </c>
      <c r="I43" s="61">
        <f t="shared" si="4"/>
        <v>1</v>
      </c>
      <c r="J43" s="61">
        <f t="shared" si="4"/>
        <v>64253</v>
      </c>
      <c r="K43" s="61">
        <f t="shared" si="4"/>
        <v>1</v>
      </c>
      <c r="L43" s="61">
        <f t="shared" si="4"/>
        <v>1</v>
      </c>
      <c r="M43" s="61">
        <f t="shared" si="4"/>
        <v>64253</v>
      </c>
      <c r="N43" s="61">
        <f t="shared" si="4"/>
        <v>17</v>
      </c>
      <c r="O43" s="61">
        <f t="shared" si="4"/>
        <v>1970373.62</v>
      </c>
      <c r="P43" s="61">
        <f t="shared" si="4"/>
        <v>0</v>
      </c>
      <c r="Q43" s="61">
        <f t="shared" si="4"/>
        <v>270373</v>
      </c>
      <c r="R43" s="61">
        <f t="shared" si="4"/>
        <v>1</v>
      </c>
      <c r="S43" s="61">
        <f t="shared" si="4"/>
        <v>63312.88</v>
      </c>
      <c r="T43" s="61">
        <f t="shared" si="4"/>
        <v>0</v>
      </c>
      <c r="U43" s="61">
        <f t="shared" si="4"/>
        <v>0</v>
      </c>
      <c r="V43" s="20">
        <f t="shared" si="4"/>
        <v>0</v>
      </c>
      <c r="W43" s="20">
        <f t="shared" si="4"/>
        <v>0</v>
      </c>
      <c r="X43" s="20">
        <f t="shared" si="4"/>
        <v>0</v>
      </c>
      <c r="Y43" s="20">
        <f t="shared" si="4"/>
        <v>0</v>
      </c>
      <c r="Z43" s="20">
        <f t="shared" si="4"/>
        <v>0</v>
      </c>
      <c r="AA43" s="20">
        <f t="shared" si="4"/>
        <v>0</v>
      </c>
    </row>
    <row r="44" spans="1:28" s="23" customFormat="1" ht="13.15" customHeight="1" x14ac:dyDescent="0.25">
      <c r="A44" s="123"/>
      <c r="B44" s="123"/>
      <c r="C44" s="124"/>
      <c r="D44" s="124"/>
      <c r="E44" s="124"/>
      <c r="F44" s="124"/>
      <c r="G44" s="124"/>
      <c r="H44" s="124"/>
      <c r="I44" s="124"/>
      <c r="J44" s="124"/>
      <c r="K44" s="124"/>
      <c r="L44" s="124"/>
      <c r="M44" s="124"/>
      <c r="N44" s="124"/>
      <c r="O44" s="124"/>
      <c r="P44" s="124"/>
      <c r="Q44" s="124"/>
      <c r="R44" s="124"/>
      <c r="S44" s="124"/>
      <c r="T44" s="124"/>
      <c r="U44" s="124"/>
    </row>
    <row r="45" spans="1:28" ht="25.9" customHeight="1" x14ac:dyDescent="0.25">
      <c r="A45" s="1008" t="s">
        <v>226</v>
      </c>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row>
    <row r="46" spans="1:28" s="12" customFormat="1" ht="28.9" customHeight="1" x14ac:dyDescent="0.2">
      <c r="A46" s="966" t="s">
        <v>156</v>
      </c>
      <c r="B46" s="966" t="s">
        <v>282</v>
      </c>
      <c r="C46" s="966" t="s">
        <v>157</v>
      </c>
      <c r="D46" s="966" t="s">
        <v>158</v>
      </c>
      <c r="E46" s="969" t="s">
        <v>337</v>
      </c>
      <c r="F46" s="970"/>
      <c r="G46" s="969" t="s">
        <v>277</v>
      </c>
      <c r="H46" s="970"/>
      <c r="I46" s="969" t="s">
        <v>159</v>
      </c>
      <c r="J46" s="970"/>
      <c r="K46" s="976" t="s">
        <v>717</v>
      </c>
      <c r="L46" s="977"/>
      <c r="M46" s="977"/>
      <c r="N46" s="977"/>
      <c r="O46" s="978"/>
      <c r="P46" s="966" t="s">
        <v>250</v>
      </c>
      <c r="Q46" s="966" t="s">
        <v>630</v>
      </c>
      <c r="R46" s="969" t="s">
        <v>718</v>
      </c>
      <c r="S46" s="970"/>
      <c r="T46" s="969" t="s">
        <v>719</v>
      </c>
      <c r="U46" s="970"/>
      <c r="V46" s="982" t="s">
        <v>719</v>
      </c>
      <c r="W46" s="982"/>
      <c r="X46" s="982"/>
      <c r="Y46" s="982"/>
      <c r="Z46" s="982"/>
      <c r="AA46" s="982"/>
    </row>
    <row r="47" spans="1:28" s="12" customFormat="1" ht="14.45" customHeight="1" x14ac:dyDescent="0.2">
      <c r="A47" s="967"/>
      <c r="B47" s="967"/>
      <c r="C47" s="967"/>
      <c r="D47" s="967"/>
      <c r="E47" s="971"/>
      <c r="F47" s="972"/>
      <c r="G47" s="971"/>
      <c r="H47" s="972"/>
      <c r="I47" s="971"/>
      <c r="J47" s="972"/>
      <c r="K47" s="976" t="s">
        <v>160</v>
      </c>
      <c r="L47" s="977"/>
      <c r="M47" s="978"/>
      <c r="N47" s="969" t="s">
        <v>631</v>
      </c>
      <c r="O47" s="970"/>
      <c r="P47" s="967"/>
      <c r="Q47" s="967"/>
      <c r="R47" s="971"/>
      <c r="S47" s="972"/>
      <c r="T47" s="971"/>
      <c r="U47" s="972"/>
      <c r="V47" s="982"/>
      <c r="W47" s="982"/>
      <c r="X47" s="982"/>
      <c r="Y47" s="982"/>
      <c r="Z47" s="982"/>
      <c r="AA47" s="982"/>
    </row>
    <row r="48" spans="1:28" s="12" customFormat="1" ht="20.25" customHeight="1" x14ac:dyDescent="0.2">
      <c r="A48" s="967"/>
      <c r="B48" s="967"/>
      <c r="C48" s="967"/>
      <c r="D48" s="967"/>
      <c r="E48" s="973"/>
      <c r="F48" s="974"/>
      <c r="G48" s="973"/>
      <c r="H48" s="974"/>
      <c r="I48" s="973"/>
      <c r="J48" s="974"/>
      <c r="K48" s="979" t="s">
        <v>161</v>
      </c>
      <c r="L48" s="976" t="s">
        <v>247</v>
      </c>
      <c r="M48" s="978"/>
      <c r="N48" s="973"/>
      <c r="O48" s="974"/>
      <c r="P48" s="975"/>
      <c r="Q48" s="975"/>
      <c r="R48" s="973"/>
      <c r="S48" s="974"/>
      <c r="T48" s="973"/>
      <c r="U48" s="974"/>
      <c r="V48" s="982" t="s">
        <v>587</v>
      </c>
      <c r="W48" s="982"/>
      <c r="X48" s="982" t="s">
        <v>588</v>
      </c>
      <c r="Y48" s="982"/>
      <c r="Z48" s="982" t="s">
        <v>589</v>
      </c>
      <c r="AA48" s="982"/>
    </row>
    <row r="49" spans="1:27" s="12" customFormat="1" ht="21" x14ac:dyDescent="0.2">
      <c r="A49" s="968"/>
      <c r="B49" s="968"/>
      <c r="C49" s="968"/>
      <c r="D49" s="968"/>
      <c r="E49" s="160" t="s">
        <v>161</v>
      </c>
      <c r="F49" s="130" t="s">
        <v>162</v>
      </c>
      <c r="G49" s="15" t="s">
        <v>161</v>
      </c>
      <c r="H49" s="16" t="s">
        <v>162</v>
      </c>
      <c r="I49" s="160" t="s">
        <v>161</v>
      </c>
      <c r="J49" s="130" t="s">
        <v>162</v>
      </c>
      <c r="K49" s="980"/>
      <c r="L49" s="160" t="s">
        <v>161</v>
      </c>
      <c r="M49" s="130" t="s">
        <v>162</v>
      </c>
      <c r="N49" s="160" t="s">
        <v>161</v>
      </c>
      <c r="O49" s="130" t="s">
        <v>162</v>
      </c>
      <c r="P49" s="16" t="s">
        <v>162</v>
      </c>
      <c r="Q49" s="16" t="s">
        <v>162</v>
      </c>
      <c r="R49" s="15" t="s">
        <v>161</v>
      </c>
      <c r="S49" s="16" t="s">
        <v>162</v>
      </c>
      <c r="T49" s="78" t="s">
        <v>161</v>
      </c>
      <c r="U49" s="79" t="s">
        <v>162</v>
      </c>
      <c r="V49" s="227" t="s">
        <v>161</v>
      </c>
      <c r="W49" s="218" t="s">
        <v>162</v>
      </c>
      <c r="X49" s="227" t="s">
        <v>161</v>
      </c>
      <c r="Y49" s="218" t="s">
        <v>162</v>
      </c>
      <c r="Z49" s="227" t="s">
        <v>161</v>
      </c>
      <c r="AA49" s="218" t="s">
        <v>162</v>
      </c>
    </row>
    <row r="50" spans="1:27" s="23" customFormat="1" ht="22.5" x14ac:dyDescent="0.25">
      <c r="A50" s="29" t="s">
        <v>107</v>
      </c>
      <c r="B50" s="29">
        <v>11621</v>
      </c>
      <c r="C50" s="98">
        <v>415698</v>
      </c>
      <c r="D50" s="111">
        <v>43251</v>
      </c>
      <c r="E50" s="29">
        <v>26</v>
      </c>
      <c r="F50" s="179">
        <v>2529925.67</v>
      </c>
      <c r="G50" s="180">
        <v>0</v>
      </c>
      <c r="H50" s="180">
        <v>0</v>
      </c>
      <c r="I50" s="29">
        <v>5</v>
      </c>
      <c r="J50" s="82">
        <v>474084.33</v>
      </c>
      <c r="K50" s="58">
        <v>5</v>
      </c>
      <c r="L50" s="58">
        <v>5</v>
      </c>
      <c r="M50" s="82">
        <v>474084.33</v>
      </c>
      <c r="N50" s="29">
        <v>21</v>
      </c>
      <c r="O50" s="179">
        <v>2035442.71</v>
      </c>
      <c r="P50" s="91">
        <f>J50-M50</f>
        <v>0</v>
      </c>
      <c r="Q50" s="91">
        <v>0</v>
      </c>
      <c r="R50" s="58">
        <v>4</v>
      </c>
      <c r="S50" s="91">
        <v>272151.98</v>
      </c>
      <c r="T50" s="58">
        <v>2</v>
      </c>
      <c r="U50" s="179">
        <v>91852.83</v>
      </c>
      <c r="V50" s="22">
        <v>0</v>
      </c>
      <c r="W50" s="22">
        <v>0</v>
      </c>
      <c r="X50" s="22">
        <v>0</v>
      </c>
      <c r="Y50" s="22">
        <v>0</v>
      </c>
      <c r="Z50" s="58">
        <v>1</v>
      </c>
      <c r="AA50" s="179">
        <v>91852.83</v>
      </c>
    </row>
    <row r="51" spans="1:27" x14ac:dyDescent="0.25">
      <c r="A51" s="60" t="s">
        <v>227</v>
      </c>
      <c r="B51" s="60"/>
      <c r="C51" s="61">
        <f>SUM(C50:C50)</f>
        <v>415698</v>
      </c>
      <c r="D51" s="61"/>
      <c r="E51" s="61">
        <f t="shared" ref="E51:AA51" si="5">SUM(E50:E50)</f>
        <v>26</v>
      </c>
      <c r="F51" s="61">
        <f t="shared" si="5"/>
        <v>2529925.67</v>
      </c>
      <c r="G51" s="61">
        <f t="shared" si="5"/>
        <v>0</v>
      </c>
      <c r="H51" s="61">
        <f t="shared" si="5"/>
        <v>0</v>
      </c>
      <c r="I51" s="61">
        <f t="shared" si="5"/>
        <v>5</v>
      </c>
      <c r="J51" s="61">
        <f t="shared" si="5"/>
        <v>474084.33</v>
      </c>
      <c r="K51" s="61">
        <f t="shared" si="5"/>
        <v>5</v>
      </c>
      <c r="L51" s="61">
        <f t="shared" si="5"/>
        <v>5</v>
      </c>
      <c r="M51" s="61">
        <f t="shared" si="5"/>
        <v>474084.33</v>
      </c>
      <c r="N51" s="61">
        <f t="shared" si="5"/>
        <v>21</v>
      </c>
      <c r="O51" s="61">
        <f t="shared" si="5"/>
        <v>2035442.71</v>
      </c>
      <c r="P51" s="61">
        <f t="shared" si="5"/>
        <v>0</v>
      </c>
      <c r="Q51" s="61">
        <f t="shared" si="5"/>
        <v>0</v>
      </c>
      <c r="R51" s="61">
        <f t="shared" si="5"/>
        <v>4</v>
      </c>
      <c r="S51" s="61">
        <f t="shared" si="5"/>
        <v>272151.98</v>
      </c>
      <c r="T51" s="61">
        <f t="shared" si="5"/>
        <v>2</v>
      </c>
      <c r="U51" s="61">
        <f t="shared" si="5"/>
        <v>91852.83</v>
      </c>
      <c r="V51" s="20">
        <f t="shared" si="5"/>
        <v>0</v>
      </c>
      <c r="W51" s="20">
        <f t="shared" si="5"/>
        <v>0</v>
      </c>
      <c r="X51" s="20">
        <f t="shared" si="5"/>
        <v>0</v>
      </c>
      <c r="Y51" s="20">
        <f t="shared" si="5"/>
        <v>0</v>
      </c>
      <c r="Z51" s="20">
        <f t="shared" si="5"/>
        <v>1</v>
      </c>
      <c r="AA51" s="20">
        <f t="shared" si="5"/>
        <v>91852.83</v>
      </c>
    </row>
    <row r="52" spans="1:27" ht="15" customHeight="1" x14ac:dyDescent="0.25">
      <c r="A52" s="219" t="s">
        <v>390</v>
      </c>
      <c r="B52" s="140"/>
      <c r="C52" s="140"/>
      <c r="D52" s="140"/>
      <c r="E52" s="140"/>
      <c r="F52" s="140"/>
      <c r="G52" s="140"/>
      <c r="H52" s="140"/>
      <c r="I52" s="140"/>
      <c r="J52" s="140"/>
      <c r="K52" s="140"/>
      <c r="L52" s="140"/>
      <c r="M52" s="140"/>
      <c r="N52" s="140"/>
      <c r="O52" s="140"/>
      <c r="P52" s="140"/>
      <c r="Q52" s="140"/>
      <c r="R52" s="140"/>
      <c r="S52" s="140"/>
    </row>
    <row r="53" spans="1:27" s="23" customFormat="1" ht="15.6" customHeight="1" x14ac:dyDescent="0.25">
      <c r="A53" s="981" t="s">
        <v>732</v>
      </c>
      <c r="B53" s="981"/>
      <c r="C53" s="981"/>
      <c r="D53" s="981"/>
      <c r="E53" s="981"/>
      <c r="F53" s="981"/>
      <c r="G53" s="981"/>
      <c r="H53" s="981"/>
      <c r="I53" s="981"/>
      <c r="J53" s="981"/>
      <c r="K53" s="981"/>
      <c r="L53" s="981"/>
      <c r="M53" s="981"/>
      <c r="N53" s="981"/>
      <c r="O53" s="981"/>
      <c r="P53" s="981"/>
      <c r="Q53" s="981"/>
      <c r="R53" s="981"/>
      <c r="S53" s="981"/>
      <c r="T53" s="981"/>
      <c r="U53" s="981"/>
      <c r="V53" s="981"/>
      <c r="W53" s="981"/>
      <c r="X53" s="981"/>
      <c r="Y53" s="981"/>
      <c r="Z53" s="981"/>
      <c r="AA53" s="981"/>
    </row>
    <row r="54" spans="1:27" x14ac:dyDescent="0.25">
      <c r="E54" s="50"/>
      <c r="I54" s="50"/>
    </row>
  </sheetData>
  <mergeCells count="127">
    <mergeCell ref="A53:AA53"/>
    <mergeCell ref="A45:AA45"/>
    <mergeCell ref="A29:AA29"/>
    <mergeCell ref="A19:AA19"/>
    <mergeCell ref="V46:AA47"/>
    <mergeCell ref="V48:W48"/>
    <mergeCell ref="X48:Y48"/>
    <mergeCell ref="Z48:AA48"/>
    <mergeCell ref="V22:W22"/>
    <mergeCell ref="X22:Y22"/>
    <mergeCell ref="Z22:AA22"/>
    <mergeCell ref="V30:AA31"/>
    <mergeCell ref="V32:W32"/>
    <mergeCell ref="X32:Y32"/>
    <mergeCell ref="Z32:AA32"/>
    <mergeCell ref="V38:AA39"/>
    <mergeCell ref="V40:W40"/>
    <mergeCell ref="X40:Y40"/>
    <mergeCell ref="Z40:AA40"/>
    <mergeCell ref="A27:AA27"/>
    <mergeCell ref="A37:U37"/>
    <mergeCell ref="A46:A49"/>
    <mergeCell ref="G46:H48"/>
    <mergeCell ref="G38:H40"/>
    <mergeCell ref="V2:AA3"/>
    <mergeCell ref="V4:W4"/>
    <mergeCell ref="X4:Y4"/>
    <mergeCell ref="Z4:AA4"/>
    <mergeCell ref="V11:AA12"/>
    <mergeCell ref="V13:W13"/>
    <mergeCell ref="X13:Y13"/>
    <mergeCell ref="Z13:AA13"/>
    <mergeCell ref="V20:AA21"/>
    <mergeCell ref="A9:AA9"/>
    <mergeCell ref="T2:U4"/>
    <mergeCell ref="K3:M3"/>
    <mergeCell ref="N3:O4"/>
    <mergeCell ref="A11:A14"/>
    <mergeCell ref="C11:C14"/>
    <mergeCell ref="K2:O2"/>
    <mergeCell ref="P2:P4"/>
    <mergeCell ref="R2:S4"/>
    <mergeCell ref="A2:A5"/>
    <mergeCell ref="C2:C5"/>
    <mergeCell ref="D2:D5"/>
    <mergeCell ref="E2:F4"/>
    <mergeCell ref="I2:J4"/>
    <mergeCell ref="B2:B5"/>
    <mergeCell ref="N47:O48"/>
    <mergeCell ref="K48:K49"/>
    <mergeCell ref="L48:M48"/>
    <mergeCell ref="Q46:Q48"/>
    <mergeCell ref="K46:O46"/>
    <mergeCell ref="P46:P48"/>
    <mergeCell ref="B38:B41"/>
    <mergeCell ref="T38:U40"/>
    <mergeCell ref="K39:M39"/>
    <mergeCell ref="N39:O40"/>
    <mergeCell ref="K40:K41"/>
    <mergeCell ref="L40:M40"/>
    <mergeCell ref="K38:O38"/>
    <mergeCell ref="P38:P40"/>
    <mergeCell ref="R38:S40"/>
    <mergeCell ref="I11:J13"/>
    <mergeCell ref="K11:O11"/>
    <mergeCell ref="Q11:Q13"/>
    <mergeCell ref="Q2:Q4"/>
    <mergeCell ref="P30:P32"/>
    <mergeCell ref="D38:D41"/>
    <mergeCell ref="I20:J22"/>
    <mergeCell ref="Q30:Q32"/>
    <mergeCell ref="Q38:Q40"/>
    <mergeCell ref="K4:K5"/>
    <mergeCell ref="L4:M4"/>
    <mergeCell ref="E38:F40"/>
    <mergeCell ref="I38:J40"/>
    <mergeCell ref="A20:A23"/>
    <mergeCell ref="C20:C23"/>
    <mergeCell ref="G2:H4"/>
    <mergeCell ref="G11:H13"/>
    <mergeCell ref="G20:H22"/>
    <mergeCell ref="B11:B14"/>
    <mergeCell ref="B20:B23"/>
    <mergeCell ref="D11:D14"/>
    <mergeCell ref="E20:F22"/>
    <mergeCell ref="D20:D23"/>
    <mergeCell ref="E11:F13"/>
    <mergeCell ref="R11:S13"/>
    <mergeCell ref="T11:U13"/>
    <mergeCell ref="K12:M12"/>
    <mergeCell ref="N12:O13"/>
    <mergeCell ref="P11:P13"/>
    <mergeCell ref="T20:U22"/>
    <mergeCell ref="K21:M21"/>
    <mergeCell ref="K22:K23"/>
    <mergeCell ref="N21:O22"/>
    <mergeCell ref="L22:M22"/>
    <mergeCell ref="Q20:Q22"/>
    <mergeCell ref="K20:O20"/>
    <mergeCell ref="P20:P22"/>
    <mergeCell ref="R20:S22"/>
    <mergeCell ref="K13:K14"/>
    <mergeCell ref="L13:M13"/>
    <mergeCell ref="T30:U32"/>
    <mergeCell ref="R30:S32"/>
    <mergeCell ref="C46:C49"/>
    <mergeCell ref="D46:D49"/>
    <mergeCell ref="E46:F48"/>
    <mergeCell ref="I46:J48"/>
    <mergeCell ref="A30:A33"/>
    <mergeCell ref="C30:C33"/>
    <mergeCell ref="D30:D33"/>
    <mergeCell ref="E30:F32"/>
    <mergeCell ref="B30:B33"/>
    <mergeCell ref="N31:O32"/>
    <mergeCell ref="K32:K33"/>
    <mergeCell ref="L32:M32"/>
    <mergeCell ref="K30:O30"/>
    <mergeCell ref="K31:M31"/>
    <mergeCell ref="I30:J32"/>
    <mergeCell ref="G30:H32"/>
    <mergeCell ref="A38:A41"/>
    <mergeCell ref="C38:C41"/>
    <mergeCell ref="B46:B49"/>
    <mergeCell ref="R46:S48"/>
    <mergeCell ref="T46:U48"/>
    <mergeCell ref="K47:M47"/>
  </mergeCells>
  <pageMargins left="0.70866141732283472" right="0.51181102362204722" top="0.74803149606299213" bottom="0.74803149606299213" header="0.31496062992125984" footer="0.31496062992125984"/>
  <pageSetup paperSize="9" scale="65" orientation="landscape" r:id="rId1"/>
  <rowBreaks count="1" manualBreakCount="1">
    <brk id="27" max="2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A41"/>
  <sheetViews>
    <sheetView view="pageBreakPreview" topLeftCell="A10" zoomScaleNormal="100" zoomScaleSheetLayoutView="100" workbookViewId="0">
      <selection activeCell="Z16" activeCellId="2" sqref="V16 X16 Z16"/>
    </sheetView>
  </sheetViews>
  <sheetFormatPr defaultColWidth="8.7109375" defaultRowHeight="15" x14ac:dyDescent="0.25"/>
  <cols>
    <col min="1" max="1" width="12.7109375" customWidth="1"/>
    <col min="2" max="2" width="7.28515625" customWidth="1"/>
    <col min="3" max="3" width="9.7109375" customWidth="1"/>
    <col min="5" max="5" width="4.85546875" bestFit="1" customWidth="1"/>
    <col min="7" max="7" width="2.85546875" customWidth="1"/>
    <col min="8" max="8" width="7.42578125" customWidth="1"/>
    <col min="9" max="9" width="4.42578125" customWidth="1"/>
    <col min="10" max="10" width="9.5703125" customWidth="1"/>
    <col min="11" max="12" width="4.7109375" customWidth="1"/>
    <col min="13" max="13" width="8.42578125" customWidth="1"/>
    <col min="14" max="14" width="3.42578125" customWidth="1"/>
    <col min="15" max="15" width="8.42578125" customWidth="1"/>
    <col min="16" max="16" width="8.85546875" bestFit="1" customWidth="1"/>
    <col min="17" max="17" width="3.28515625" bestFit="1" customWidth="1"/>
    <col min="18" max="18" width="9.5703125" customWidth="1"/>
    <col min="19" max="19" width="4.140625" customWidth="1"/>
    <col min="20" max="20" width="10.85546875" bestFit="1" customWidth="1"/>
    <col min="21" max="21" width="3.85546875" style="145" customWidth="1"/>
    <col min="22" max="22" width="7.85546875" bestFit="1" customWidth="1"/>
    <col min="23" max="23" width="5.28515625" customWidth="1"/>
    <col min="24" max="24" width="9.140625" bestFit="1" customWidth="1"/>
    <col min="25" max="25" width="3.28515625" customWidth="1"/>
    <col min="28" max="28" width="12" bestFit="1" customWidth="1"/>
  </cols>
  <sheetData>
    <row r="1" spans="1:26" x14ac:dyDescent="0.25">
      <c r="A1" s="1144" t="s">
        <v>348</v>
      </c>
      <c r="B1" s="1144"/>
      <c r="C1" s="1144"/>
      <c r="D1" s="1144"/>
    </row>
    <row r="2" spans="1:26" s="12" customFormat="1" ht="28.9" customHeight="1" x14ac:dyDescent="0.2">
      <c r="A2" s="966" t="s">
        <v>156</v>
      </c>
      <c r="B2" s="966" t="s">
        <v>282</v>
      </c>
      <c r="C2" s="966" t="s">
        <v>157</v>
      </c>
      <c r="D2" s="966" t="s">
        <v>158</v>
      </c>
      <c r="E2" s="997" t="s">
        <v>337</v>
      </c>
      <c r="F2" s="998"/>
      <c r="G2" s="997" t="s">
        <v>277</v>
      </c>
      <c r="H2" s="998"/>
      <c r="I2" s="997" t="s">
        <v>159</v>
      </c>
      <c r="J2" s="998"/>
      <c r="K2" s="976" t="s">
        <v>717</v>
      </c>
      <c r="L2" s="977"/>
      <c r="M2" s="977"/>
      <c r="N2" s="977"/>
      <c r="O2" s="978"/>
      <c r="P2" s="966" t="s">
        <v>250</v>
      </c>
      <c r="Q2" s="969" t="s">
        <v>718</v>
      </c>
      <c r="R2" s="970"/>
      <c r="S2" s="969" t="s">
        <v>719</v>
      </c>
      <c r="T2" s="970"/>
      <c r="U2" s="982" t="s">
        <v>719</v>
      </c>
      <c r="V2" s="982"/>
      <c r="W2" s="982"/>
      <c r="X2" s="982"/>
      <c r="Y2" s="982"/>
      <c r="Z2" s="982"/>
    </row>
    <row r="3" spans="1:26" s="12" customFormat="1" ht="14.45" customHeight="1" x14ac:dyDescent="0.2">
      <c r="A3" s="967"/>
      <c r="B3" s="967"/>
      <c r="C3" s="967"/>
      <c r="D3" s="967"/>
      <c r="E3" s="971"/>
      <c r="F3" s="972"/>
      <c r="G3" s="971"/>
      <c r="H3" s="972"/>
      <c r="I3" s="971"/>
      <c r="J3" s="972"/>
      <c r="K3" s="1143" t="s">
        <v>160</v>
      </c>
      <c r="L3" s="977"/>
      <c r="M3" s="978"/>
      <c r="N3" s="997" t="s">
        <v>631</v>
      </c>
      <c r="O3" s="998"/>
      <c r="P3" s="967"/>
      <c r="Q3" s="971"/>
      <c r="R3" s="972"/>
      <c r="S3" s="971"/>
      <c r="T3" s="972"/>
      <c r="U3" s="982"/>
      <c r="V3" s="982"/>
      <c r="W3" s="982"/>
      <c r="X3" s="982"/>
      <c r="Y3" s="982"/>
      <c r="Z3" s="982"/>
    </row>
    <row r="4" spans="1:26" s="12" customFormat="1" ht="20.25" customHeight="1" x14ac:dyDescent="0.2">
      <c r="A4" s="967"/>
      <c r="B4" s="967"/>
      <c r="C4" s="967"/>
      <c r="D4" s="967"/>
      <c r="E4" s="973"/>
      <c r="F4" s="974"/>
      <c r="G4" s="973"/>
      <c r="H4" s="974"/>
      <c r="I4" s="973"/>
      <c r="J4" s="974"/>
      <c r="K4" s="979" t="s">
        <v>161</v>
      </c>
      <c r="L4" s="1143" t="s">
        <v>247</v>
      </c>
      <c r="M4" s="978"/>
      <c r="N4" s="973"/>
      <c r="O4" s="974"/>
      <c r="P4" s="975"/>
      <c r="Q4" s="973"/>
      <c r="R4" s="974"/>
      <c r="S4" s="973"/>
      <c r="T4" s="974"/>
      <c r="U4" s="982" t="s">
        <v>587</v>
      </c>
      <c r="V4" s="982"/>
      <c r="W4" s="982" t="s">
        <v>588</v>
      </c>
      <c r="X4" s="982"/>
      <c r="Y4" s="982" t="s">
        <v>589</v>
      </c>
      <c r="Z4" s="982"/>
    </row>
    <row r="5" spans="1:26" s="12" customFormat="1" ht="21" x14ac:dyDescent="0.2">
      <c r="A5" s="968"/>
      <c r="B5" s="975"/>
      <c r="C5" s="968"/>
      <c r="D5" s="968"/>
      <c r="E5" s="160" t="s">
        <v>161</v>
      </c>
      <c r="F5" s="130" t="s">
        <v>162</v>
      </c>
      <c r="G5" s="15" t="s">
        <v>161</v>
      </c>
      <c r="H5" s="16" t="s">
        <v>162</v>
      </c>
      <c r="I5" s="160" t="s">
        <v>161</v>
      </c>
      <c r="J5" s="130" t="s">
        <v>162</v>
      </c>
      <c r="K5" s="1142"/>
      <c r="L5" s="160" t="s">
        <v>161</v>
      </c>
      <c r="M5" s="130" t="s">
        <v>162</v>
      </c>
      <c r="N5" s="160" t="s">
        <v>161</v>
      </c>
      <c r="O5" s="130" t="s">
        <v>162</v>
      </c>
      <c r="P5" s="16" t="s">
        <v>162</v>
      </c>
      <c r="Q5" s="15" t="s">
        <v>161</v>
      </c>
      <c r="R5" s="16" t="s">
        <v>162</v>
      </c>
      <c r="S5" s="78" t="s">
        <v>161</v>
      </c>
      <c r="T5" s="79" t="s">
        <v>162</v>
      </c>
      <c r="U5" s="227" t="s">
        <v>161</v>
      </c>
      <c r="V5" s="218" t="s">
        <v>162</v>
      </c>
      <c r="W5" s="227" t="s">
        <v>161</v>
      </c>
      <c r="X5" s="218" t="s">
        <v>162</v>
      </c>
      <c r="Y5" s="227" t="s">
        <v>161</v>
      </c>
      <c r="Z5" s="218" t="s">
        <v>162</v>
      </c>
    </row>
    <row r="6" spans="1:26" s="23" customFormat="1" ht="22.5" x14ac:dyDescent="0.25">
      <c r="A6" s="181" t="s">
        <v>228</v>
      </c>
      <c r="B6" s="143">
        <v>2641</v>
      </c>
      <c r="C6" s="230">
        <v>725817</v>
      </c>
      <c r="D6" s="120">
        <v>43069</v>
      </c>
      <c r="E6" s="230">
        <v>17</v>
      </c>
      <c r="F6" s="231">
        <v>784141.38</v>
      </c>
      <c r="G6" s="231">
        <v>0</v>
      </c>
      <c r="H6" s="231">
        <v>0</v>
      </c>
      <c r="I6" s="230">
        <v>16</v>
      </c>
      <c r="J6" s="112">
        <v>725817</v>
      </c>
      <c r="K6" s="230">
        <v>16</v>
      </c>
      <c r="L6" s="230">
        <v>16</v>
      </c>
      <c r="M6" s="112">
        <v>725817</v>
      </c>
      <c r="N6" s="47">
        <v>1</v>
      </c>
      <c r="O6" s="47">
        <v>50000</v>
      </c>
      <c r="P6" s="62">
        <f>J6-M6</f>
        <v>0</v>
      </c>
      <c r="Q6" s="118">
        <v>16</v>
      </c>
      <c r="R6" s="18">
        <v>727454</v>
      </c>
      <c r="S6" s="76">
        <v>15</v>
      </c>
      <c r="T6" s="76">
        <v>679804.03999999992</v>
      </c>
      <c r="U6" s="22">
        <v>0</v>
      </c>
      <c r="V6" s="22">
        <v>0</v>
      </c>
      <c r="W6" s="22">
        <v>0</v>
      </c>
      <c r="X6" s="22">
        <v>0</v>
      </c>
      <c r="Y6" s="22">
        <v>15</v>
      </c>
      <c r="Z6" s="22">
        <v>679804.03999999992</v>
      </c>
    </row>
    <row r="7" spans="1:26" ht="14.25" customHeight="1" x14ac:dyDescent="0.25">
      <c r="A7" s="60" t="s">
        <v>229</v>
      </c>
      <c r="B7" s="60"/>
      <c r="C7" s="61">
        <f>SUM(C6:C6)</f>
        <v>725817</v>
      </c>
      <c r="D7" s="61"/>
      <c r="E7" s="61">
        <f t="shared" ref="E7:Z7" si="0">SUM(E6:E6)</f>
        <v>17</v>
      </c>
      <c r="F7" s="61">
        <f t="shared" si="0"/>
        <v>784141.38</v>
      </c>
      <c r="G7" s="61">
        <f t="shared" si="0"/>
        <v>0</v>
      </c>
      <c r="H7" s="61">
        <f t="shared" si="0"/>
        <v>0</v>
      </c>
      <c r="I7" s="61">
        <f t="shared" si="0"/>
        <v>16</v>
      </c>
      <c r="J7" s="61">
        <f t="shared" si="0"/>
        <v>725817</v>
      </c>
      <c r="K7" s="61">
        <f>K6</f>
        <v>16</v>
      </c>
      <c r="L7" s="61">
        <f>L6</f>
        <v>16</v>
      </c>
      <c r="M7" s="61">
        <f>M6</f>
        <v>725817</v>
      </c>
      <c r="N7" s="61">
        <f t="shared" si="0"/>
        <v>1</v>
      </c>
      <c r="O7" s="61">
        <f t="shared" si="0"/>
        <v>50000</v>
      </c>
      <c r="P7" s="61">
        <f t="shared" si="0"/>
        <v>0</v>
      </c>
      <c r="Q7" s="61">
        <f t="shared" si="0"/>
        <v>16</v>
      </c>
      <c r="R7" s="61">
        <f t="shared" si="0"/>
        <v>727454</v>
      </c>
      <c r="S7" s="61">
        <f t="shared" si="0"/>
        <v>15</v>
      </c>
      <c r="T7" s="61">
        <f t="shared" si="0"/>
        <v>679804.03999999992</v>
      </c>
      <c r="U7" s="20">
        <f t="shared" si="0"/>
        <v>0</v>
      </c>
      <c r="V7" s="20">
        <f t="shared" si="0"/>
        <v>0</v>
      </c>
      <c r="W7" s="20">
        <f t="shared" si="0"/>
        <v>0</v>
      </c>
      <c r="X7" s="20">
        <f t="shared" si="0"/>
        <v>0</v>
      </c>
      <c r="Y7" s="20">
        <f t="shared" si="0"/>
        <v>15</v>
      </c>
      <c r="Z7" s="20">
        <f t="shared" si="0"/>
        <v>679804.03999999992</v>
      </c>
    </row>
    <row r="8" spans="1:26" s="23" customFormat="1" ht="15" customHeight="1" x14ac:dyDescent="0.25">
      <c r="A8" s="826" t="s">
        <v>544</v>
      </c>
      <c r="B8" s="826"/>
      <c r="C8" s="826"/>
      <c r="D8" s="826"/>
      <c r="E8" s="826"/>
      <c r="F8" s="826"/>
      <c r="G8" s="826"/>
      <c r="H8" s="826"/>
      <c r="I8" s="826"/>
      <c r="J8" s="826"/>
      <c r="K8" s="826"/>
      <c r="L8" s="826"/>
      <c r="M8" s="826"/>
      <c r="N8" s="826"/>
      <c r="O8" s="826"/>
      <c r="P8" s="826"/>
      <c r="Q8" s="826"/>
      <c r="R8" s="826"/>
      <c r="S8" s="826"/>
      <c r="T8" s="826"/>
      <c r="U8" s="162"/>
    </row>
    <row r="9" spans="1:26" ht="21" customHeight="1" x14ac:dyDescent="0.25">
      <c r="A9" s="1139" t="s">
        <v>255</v>
      </c>
      <c r="B9" s="1139"/>
      <c r="C9" s="1139"/>
      <c r="D9" s="1139"/>
      <c r="E9" s="1139"/>
      <c r="F9" s="1139"/>
      <c r="G9" s="1139"/>
      <c r="H9" s="1139"/>
      <c r="I9" s="1139"/>
      <c r="J9" s="1139"/>
      <c r="K9" s="1139"/>
      <c r="L9" s="1139"/>
      <c r="M9" s="1139"/>
      <c r="N9" s="1139"/>
      <c r="O9" s="1139"/>
      <c r="P9" s="1139"/>
      <c r="Q9" s="1139"/>
      <c r="R9" s="1139"/>
      <c r="S9" s="1139"/>
      <c r="T9" s="1139"/>
    </row>
    <row r="10" spans="1:26" s="12" customFormat="1" ht="28.9" customHeight="1" x14ac:dyDescent="0.2">
      <c r="A10" s="966" t="s">
        <v>156</v>
      </c>
      <c r="B10" s="966" t="s">
        <v>282</v>
      </c>
      <c r="C10" s="966" t="s">
        <v>157</v>
      </c>
      <c r="D10" s="966" t="s">
        <v>158</v>
      </c>
      <c r="E10" s="997" t="s">
        <v>337</v>
      </c>
      <c r="F10" s="998"/>
      <c r="G10" s="997" t="s">
        <v>277</v>
      </c>
      <c r="H10" s="998"/>
      <c r="I10" s="997" t="s">
        <v>159</v>
      </c>
      <c r="J10" s="998"/>
      <c r="K10" s="976" t="s">
        <v>717</v>
      </c>
      <c r="L10" s="977"/>
      <c r="M10" s="977"/>
      <c r="N10" s="977"/>
      <c r="O10" s="978"/>
      <c r="P10" s="966" t="s">
        <v>250</v>
      </c>
      <c r="Q10" s="969" t="s">
        <v>718</v>
      </c>
      <c r="R10" s="970"/>
      <c r="S10" s="969" t="s">
        <v>719</v>
      </c>
      <c r="T10" s="970"/>
      <c r="U10" s="982" t="s">
        <v>719</v>
      </c>
      <c r="V10" s="982"/>
      <c r="W10" s="982"/>
      <c r="X10" s="982"/>
      <c r="Y10" s="982"/>
      <c r="Z10" s="982"/>
    </row>
    <row r="11" spans="1:26" s="12" customFormat="1" ht="14.45" customHeight="1" x14ac:dyDescent="0.2">
      <c r="A11" s="967"/>
      <c r="B11" s="967"/>
      <c r="C11" s="967"/>
      <c r="D11" s="967"/>
      <c r="E11" s="971"/>
      <c r="F11" s="972"/>
      <c r="G11" s="971"/>
      <c r="H11" s="972"/>
      <c r="I11" s="971"/>
      <c r="J11" s="972"/>
      <c r="K11" s="1143" t="s">
        <v>160</v>
      </c>
      <c r="L11" s="977"/>
      <c r="M11" s="978"/>
      <c r="N11" s="997" t="s">
        <v>631</v>
      </c>
      <c r="O11" s="998"/>
      <c r="P11" s="967"/>
      <c r="Q11" s="971"/>
      <c r="R11" s="972"/>
      <c r="S11" s="971"/>
      <c r="T11" s="972"/>
      <c r="U11" s="982"/>
      <c r="V11" s="982"/>
      <c r="W11" s="982"/>
      <c r="X11" s="982"/>
      <c r="Y11" s="982"/>
      <c r="Z11" s="982"/>
    </row>
    <row r="12" spans="1:26" s="12" customFormat="1" ht="20.25" customHeight="1" x14ac:dyDescent="0.2">
      <c r="A12" s="967"/>
      <c r="B12" s="967"/>
      <c r="C12" s="967"/>
      <c r="D12" s="967"/>
      <c r="E12" s="973"/>
      <c r="F12" s="974"/>
      <c r="G12" s="973"/>
      <c r="H12" s="974"/>
      <c r="I12" s="973"/>
      <c r="J12" s="974"/>
      <c r="K12" s="979" t="s">
        <v>161</v>
      </c>
      <c r="L12" s="1143" t="s">
        <v>247</v>
      </c>
      <c r="M12" s="978"/>
      <c r="N12" s="973"/>
      <c r="O12" s="974"/>
      <c r="P12" s="975"/>
      <c r="Q12" s="973"/>
      <c r="R12" s="974"/>
      <c r="S12" s="973"/>
      <c r="T12" s="974"/>
      <c r="U12" s="982" t="s">
        <v>587</v>
      </c>
      <c r="V12" s="982"/>
      <c r="W12" s="982" t="s">
        <v>588</v>
      </c>
      <c r="X12" s="982"/>
      <c r="Y12" s="982" t="s">
        <v>589</v>
      </c>
      <c r="Z12" s="982"/>
    </row>
    <row r="13" spans="1:26" s="12" customFormat="1" ht="21" x14ac:dyDescent="0.2">
      <c r="A13" s="968"/>
      <c r="B13" s="975"/>
      <c r="C13" s="968"/>
      <c r="D13" s="968"/>
      <c r="E13" s="160" t="s">
        <v>161</v>
      </c>
      <c r="F13" s="130" t="s">
        <v>162</v>
      </c>
      <c r="G13" s="15" t="s">
        <v>161</v>
      </c>
      <c r="H13" s="16" t="s">
        <v>162</v>
      </c>
      <c r="I13" s="160" t="s">
        <v>161</v>
      </c>
      <c r="J13" s="130" t="s">
        <v>162</v>
      </c>
      <c r="K13" s="1142"/>
      <c r="L13" s="160" t="s">
        <v>161</v>
      </c>
      <c r="M13" s="130" t="s">
        <v>162</v>
      </c>
      <c r="N13" s="160" t="s">
        <v>161</v>
      </c>
      <c r="O13" s="130" t="s">
        <v>162</v>
      </c>
      <c r="P13" s="16" t="s">
        <v>162</v>
      </c>
      <c r="Q13" s="15" t="s">
        <v>161</v>
      </c>
      <c r="R13" s="16" t="s">
        <v>162</v>
      </c>
      <c r="S13" s="78" t="s">
        <v>161</v>
      </c>
      <c r="T13" s="79" t="s">
        <v>162</v>
      </c>
      <c r="U13" s="227" t="s">
        <v>161</v>
      </c>
      <c r="V13" s="218" t="s">
        <v>162</v>
      </c>
      <c r="W13" s="227" t="s">
        <v>161</v>
      </c>
      <c r="X13" s="218" t="s">
        <v>162</v>
      </c>
      <c r="Y13" s="227" t="s">
        <v>161</v>
      </c>
      <c r="Z13" s="218" t="s">
        <v>162</v>
      </c>
    </row>
    <row r="14" spans="1:26" s="23" customFormat="1" ht="33.6" customHeight="1" x14ac:dyDescent="0.25">
      <c r="A14" s="58" t="s">
        <v>109</v>
      </c>
      <c r="B14" s="58" t="s">
        <v>280</v>
      </c>
      <c r="C14" s="1145">
        <v>78729496.424594194</v>
      </c>
      <c r="D14" s="125" t="s">
        <v>276</v>
      </c>
      <c r="E14" s="118">
        <f>'GAL ANGLONA ROMANGIA'!F12+'GAL BARBAGIA_GAL BARIGADU'!F19+'GAL BARBAGIA_GAL BARIGADU'!F34+'GAL CAMPIDANO_GAL BMG'!F19+'GAL CAMPIDANO_GAL BMG'!F50+'GAL GALLURA_GAL LINAS'!F23+'GAL GALLURA_GAL LINAS'!F46+'GAL LOGUDORO_GAL MARGHINE'!F16+'GAL LOGUDORO_GAL MARGHINE'!F32+'GAL MARMILLA_GAL NUORESE B.'!F23+'GAL MARMILLA_GAL NUORESE B.'!F40+'GAL OGLIASTRA_GAL SARCIDANO'!F24+'GAL OGLIASTRA_GAL SARCIDANO'!F41+'GAL SGT_GAL SINIS'!F19+'GAL SGT_GAL SINIS'!F40+'GAL SULCIS_GAL TERRAS DE OLIA'!F17+'GAL SULCIS_GAL TERRAS DE OLIA'!F41</f>
        <v>1635</v>
      </c>
      <c r="F14" s="118">
        <f>'GAL ANGLONA ROMANGIA'!G12+'GAL BARBAGIA_GAL BARIGADU'!G19+'GAL BARBAGIA_GAL BARIGADU'!G34+'GAL CAMPIDANO_GAL BMG'!G19+'GAL CAMPIDANO_GAL BMG'!G50+'GAL GALLURA_GAL LINAS'!G23+'GAL GALLURA_GAL LINAS'!G46+'GAL LOGUDORO_GAL MARGHINE'!G16+'GAL LOGUDORO_GAL MARGHINE'!G32+'GAL MARMILLA_GAL NUORESE B.'!G23+'GAL MARMILLA_GAL NUORESE B.'!G40+'GAL OGLIASTRA_GAL SARCIDANO'!G24+'GAL OGLIASTRA_GAL SARCIDANO'!G41+'GAL SGT_GAL SINIS'!G19+'GAL SGT_GAL SINIS'!G40+'GAL SULCIS_GAL TERRAS DE OLIA'!G17+'GAL SULCIS_GAL TERRAS DE OLIA'!G41</f>
        <v>93346547.300000012</v>
      </c>
      <c r="G14" s="118">
        <f>'GAL ANGLONA ROMANGIA'!H12+'GAL BARBAGIA_GAL BARIGADU'!H19+'GAL BARBAGIA_GAL BARIGADU'!H34+'GAL CAMPIDANO_GAL BMG'!H19+'GAL CAMPIDANO_GAL BMG'!H50+'GAL GALLURA_GAL LINAS'!H23+'GAL GALLURA_GAL LINAS'!H46+'GAL LOGUDORO_GAL MARGHINE'!H16+'GAL LOGUDORO_GAL MARGHINE'!H32+'GAL MARMILLA_GAL NUORESE B.'!H23+'GAL MARMILLA_GAL NUORESE B.'!H40+'GAL OGLIASTRA_GAL SARCIDANO'!H24+'GAL OGLIASTRA_GAL SARCIDANO'!H41+'GAL SGT_GAL SINIS'!H19+'GAL SGT_GAL SINIS'!H40+'GAL SULCIS_GAL TERRAS DE OLIA'!H17+'GAL SULCIS_GAL TERRAS DE OLIA'!H41</f>
        <v>24</v>
      </c>
      <c r="H14" s="118">
        <f>'GAL ANGLONA ROMANGIA'!I12+'GAL BARBAGIA_GAL BARIGADU'!I19+'GAL BARBAGIA_GAL BARIGADU'!I34+'GAL CAMPIDANO_GAL BMG'!I19+'GAL CAMPIDANO_GAL BMG'!I50+'GAL GALLURA_GAL LINAS'!I23+'GAL GALLURA_GAL LINAS'!I46+'GAL LOGUDORO_GAL MARGHINE'!I16+'GAL LOGUDORO_GAL MARGHINE'!I32+'GAL MARMILLA_GAL NUORESE B.'!I23+'GAL MARMILLA_GAL NUORESE B.'!I40+'GAL OGLIASTRA_GAL SARCIDANO'!I24+'GAL OGLIASTRA_GAL SARCIDANO'!I41+'GAL SGT_GAL SINIS'!I19+'GAL SGT_GAL SINIS'!I40+'GAL SULCIS_GAL TERRAS DE OLIA'!I17+'GAL SULCIS_GAL TERRAS DE OLIA'!I41</f>
        <v>960588.50999999989</v>
      </c>
      <c r="I14" s="118">
        <f>'GAL ANGLONA ROMANGIA'!J12+'GAL BARBAGIA_GAL BARIGADU'!J19+'GAL BARBAGIA_GAL BARIGADU'!J34+'GAL CAMPIDANO_GAL BMG'!J19+'GAL CAMPIDANO_GAL BMG'!J50+'GAL GALLURA_GAL LINAS'!J23+'GAL GALLURA_GAL LINAS'!J46+'GAL LOGUDORO_GAL MARGHINE'!J16+'GAL LOGUDORO_GAL MARGHINE'!J32+'GAL MARMILLA_GAL NUORESE B.'!J23+'GAL MARMILLA_GAL NUORESE B.'!J40+'GAL OGLIASTRA_GAL SARCIDANO'!J24+'GAL OGLIASTRA_GAL SARCIDANO'!J41+'GAL SGT_GAL SINIS'!J19+'GAL SGT_GAL SINIS'!J40+'GAL SULCIS_GAL TERRAS DE OLIA'!J17+'GAL SULCIS_GAL TERRAS DE OLIA'!J41</f>
        <v>1179</v>
      </c>
      <c r="J14" s="118">
        <f>'GAL ANGLONA ROMANGIA'!K12+'GAL BARBAGIA_GAL BARIGADU'!K19+'GAL BARBAGIA_GAL BARIGADU'!K34+'GAL CAMPIDANO_GAL BMG'!K19+'GAL CAMPIDANO_GAL BMG'!K50+'GAL GALLURA_GAL LINAS'!K23+'GAL GALLURA_GAL LINAS'!K46+'GAL LOGUDORO_GAL MARGHINE'!K16+'GAL LOGUDORO_GAL MARGHINE'!K32+'GAL MARMILLA_GAL NUORESE B.'!K23+'GAL MARMILLA_GAL NUORESE B.'!K40+'GAL OGLIASTRA_GAL SARCIDANO'!K24+'GAL OGLIASTRA_GAL SARCIDANO'!K41+'GAL SGT_GAL SINIS'!K19+'GAL SGT_GAL SINIS'!K40+'GAL SULCIS_GAL TERRAS DE OLIA'!K17+'GAL SULCIS_GAL TERRAS DE OLIA'!K41</f>
        <v>69356015.399999991</v>
      </c>
      <c r="K14" s="118">
        <f>'GAL ANGLONA ROMANGIA'!L12+'GAL BARBAGIA_GAL BARIGADU'!L19+'GAL BARBAGIA_GAL BARIGADU'!L34+'GAL CAMPIDANO_GAL BMG'!L19+'GAL CAMPIDANO_GAL BMG'!L50+'GAL GALLURA_GAL LINAS'!L23+'GAL GALLURA_GAL LINAS'!L46+'GAL LOGUDORO_GAL MARGHINE'!L16+'GAL LOGUDORO_GAL MARGHINE'!L32+'GAL MARMILLA_GAL NUORESE B.'!L23+'GAL MARMILLA_GAL NUORESE B.'!L40+'GAL OGLIASTRA_GAL SARCIDANO'!L24+'GAL OGLIASTRA_GAL SARCIDANO'!L41+'GAL SGT_GAL SINIS'!L19+'GAL SGT_GAL SINIS'!L40+'GAL SULCIS_GAL TERRAS DE OLIA'!L17+'GAL SULCIS_GAL TERRAS DE OLIA'!L41</f>
        <v>1111</v>
      </c>
      <c r="L14" s="118">
        <f>'GAL ANGLONA ROMANGIA'!M12+'GAL BARBAGIA_GAL BARIGADU'!M19+'GAL BARBAGIA_GAL BARIGADU'!M34+'GAL CAMPIDANO_GAL BMG'!M19+'GAL CAMPIDANO_GAL BMG'!M50+'GAL GALLURA_GAL LINAS'!M23+'GAL GALLURA_GAL LINAS'!M46+'GAL LOGUDORO_GAL MARGHINE'!M16+'GAL LOGUDORO_GAL MARGHINE'!M32+'GAL MARMILLA_GAL NUORESE B.'!M23+'GAL MARMILLA_GAL NUORESE B.'!M40+'GAL OGLIASTRA_GAL SARCIDANO'!M24+'GAL OGLIASTRA_GAL SARCIDANO'!M41+'GAL SGT_GAL SINIS'!M19+'GAL SGT_GAL SINIS'!M40+'GAL SULCIS_GAL TERRAS DE OLIA'!M17+'GAL SULCIS_GAL TERRAS DE OLIA'!M41</f>
        <v>1068</v>
      </c>
      <c r="M14" s="118">
        <f>'GAL ANGLONA ROMANGIA'!N12+'GAL BARBAGIA_GAL BARIGADU'!N19+'GAL BARBAGIA_GAL BARIGADU'!N34+'GAL CAMPIDANO_GAL BMG'!N19+'GAL CAMPIDANO_GAL BMG'!N50+'GAL GALLURA_GAL LINAS'!N23+'GAL GALLURA_GAL LINAS'!N46+'GAL LOGUDORO_GAL MARGHINE'!N16+'GAL LOGUDORO_GAL MARGHINE'!N32+'GAL MARMILLA_GAL NUORESE B.'!N23+'GAL MARMILLA_GAL NUORESE B.'!N40+'GAL OGLIASTRA_GAL SARCIDANO'!N24+'GAL OGLIASTRA_GAL SARCIDANO'!N41+'GAL SGT_GAL SINIS'!N19+'GAL SGT_GAL SINIS'!N40+'GAL SULCIS_GAL TERRAS DE OLIA'!N17+'GAL SULCIS_GAL TERRAS DE OLIA'!N41</f>
        <v>62498496.50999999</v>
      </c>
      <c r="N14" s="118">
        <f>'GAL ANGLONA ROMANGIA'!O12+'GAL BARBAGIA_GAL BARIGADU'!O19+'GAL BARBAGIA_GAL BARIGADU'!O34+'GAL CAMPIDANO_GAL BMG'!O19+'GAL CAMPIDANO_GAL BMG'!O50+'GAL GALLURA_GAL LINAS'!O23+'GAL GALLURA_GAL LINAS'!O46+'GAL LOGUDORO_GAL MARGHINE'!O16+'GAL LOGUDORO_GAL MARGHINE'!O32+'GAL MARMILLA_GAL NUORESE B.'!O23+'GAL MARMILLA_GAL NUORESE B.'!O40+'GAL OGLIASTRA_GAL SARCIDANO'!O24+'GAL OGLIASTRA_GAL SARCIDANO'!O41+'GAL SGT_GAL SINIS'!O19+'GAL SGT_GAL SINIS'!O40+'GAL SULCIS_GAL TERRAS DE OLIA'!O17+'GAL SULCIS_GAL TERRAS DE OLIA'!O41</f>
        <v>335</v>
      </c>
      <c r="O14" s="118">
        <f>'GAL ANGLONA ROMANGIA'!P12+'GAL BARBAGIA_GAL BARIGADU'!P19+'GAL BARBAGIA_GAL BARIGADU'!P34+'GAL CAMPIDANO_GAL BMG'!P19+'GAL CAMPIDANO_GAL BMG'!P50+'GAL GALLURA_GAL LINAS'!P23+'GAL GALLURA_GAL LINAS'!P46+'GAL LOGUDORO_GAL MARGHINE'!P16+'GAL LOGUDORO_GAL MARGHINE'!P32+'GAL MARMILLA_GAL NUORESE B.'!P23+'GAL MARMILLA_GAL NUORESE B.'!P40+'GAL OGLIASTRA_GAL SARCIDANO'!P24+'GAL OGLIASTRA_GAL SARCIDANO'!P41+'GAL SGT_GAL SINIS'!P19+'GAL SGT_GAL SINIS'!P40+'GAL SULCIS_GAL TERRAS DE OLIA'!P17+'GAL SULCIS_GAL TERRAS DE OLIA'!P41</f>
        <v>14431511.510000002</v>
      </c>
      <c r="P14" s="118">
        <f>'GAL ANGLONA ROMANGIA'!Q12+'GAL BARBAGIA_GAL BARIGADU'!Q19+'GAL BARBAGIA_GAL BARIGADU'!Q34+'GAL CAMPIDANO_GAL BMG'!Q19+'GAL CAMPIDANO_GAL BMG'!Q50+'GAL GALLURA_GAL LINAS'!Q23+'GAL GALLURA_GAL LINAS'!Q46+'GAL LOGUDORO_GAL MARGHINE'!Q16+'GAL LOGUDORO_GAL MARGHINE'!Q32+'GAL MARMILLA_GAL NUORESE B.'!Q23+'GAL MARMILLA_GAL NUORESE B.'!Q40+'GAL OGLIASTRA_GAL SARCIDANO'!Q24+'GAL OGLIASTRA_GAL SARCIDANO'!Q41+'GAL SGT_GAL SINIS'!Q19+'GAL SGT_GAL SINIS'!Q40+'GAL SULCIS_GAL TERRAS DE OLIA'!Q17+'GAL SULCIS_GAL TERRAS DE OLIA'!Q41</f>
        <v>6857518.8900000006</v>
      </c>
      <c r="Q14" s="118">
        <f>'GAL ANGLONA ROMANGIA'!R12+'GAL BARBAGIA_GAL BARIGADU'!R19+'GAL BARBAGIA_GAL BARIGADU'!R34+'GAL CAMPIDANO_GAL BMG'!R19+'GAL CAMPIDANO_GAL BMG'!R50+'GAL GALLURA_GAL LINAS'!R23+'GAL GALLURA_GAL LINAS'!R46+'GAL LOGUDORO_GAL MARGHINE'!R16+'GAL LOGUDORO_GAL MARGHINE'!R32+'GAL MARMILLA_GAL NUORESE B.'!R23+'GAL MARMILLA_GAL NUORESE B.'!R40+'GAL OGLIASTRA_GAL SARCIDANO'!R24+'GAL OGLIASTRA_GAL SARCIDANO'!R41+'GAL SGT_GAL SINIS'!R19+'GAL SGT_GAL SINIS'!R40+'GAL SULCIS_GAL TERRAS DE OLIA'!R17+'GAL SULCIS_GAL TERRAS DE OLIA'!R41</f>
        <v>967</v>
      </c>
      <c r="R14" s="118">
        <f>'GAL ANGLONA ROMANGIA'!S12+'GAL BARBAGIA_GAL BARIGADU'!S19+'GAL BARBAGIA_GAL BARIGADU'!S34+'GAL CAMPIDANO_GAL BMG'!S19+'GAL CAMPIDANO_GAL BMG'!S50+'GAL GALLURA_GAL LINAS'!S23+'GAL GALLURA_GAL LINAS'!S46+'GAL LOGUDORO_GAL MARGHINE'!S16+'GAL LOGUDORO_GAL MARGHINE'!S32+'GAL MARMILLA_GAL NUORESE B.'!S23+'GAL MARMILLA_GAL NUORESE B.'!S40+'GAL OGLIASTRA_GAL SARCIDANO'!S24+'GAL OGLIASTRA_GAL SARCIDANO'!S41+'GAL SGT_GAL SINIS'!S19+'GAL SGT_GAL SINIS'!S40+'GAL SULCIS_GAL TERRAS DE OLIA'!S17+'GAL SULCIS_GAL TERRAS DE OLIA'!S41</f>
        <v>30962517.190000001</v>
      </c>
      <c r="S14" s="118">
        <f>'GAL ANGLONA ROMANGIA'!T12+'GAL BARBAGIA_GAL BARIGADU'!T19+'GAL BARBAGIA_GAL BARIGADU'!T34+'GAL CAMPIDANO_GAL BMG'!T19+'GAL CAMPIDANO_GAL BMG'!T50+'GAL GALLURA_GAL LINAS'!T23+'GAL GALLURA_GAL LINAS'!T46+'GAL LOGUDORO_GAL MARGHINE'!T16+'GAL LOGUDORO_GAL MARGHINE'!T32+'GAL MARMILLA_GAL NUORESE B.'!T23+'GAL MARMILLA_GAL NUORESE B.'!T40+'GAL OGLIASTRA_GAL SARCIDANO'!T24+'GAL OGLIASTRA_GAL SARCIDANO'!T41+'GAL SGT_GAL SINIS'!T19+'GAL SGT_GAL SINIS'!T40+'GAL SULCIS_GAL TERRAS DE OLIA'!T17+'GAL SULCIS_GAL TERRAS DE OLIA'!T41</f>
        <v>671</v>
      </c>
      <c r="T14" s="118">
        <f>'GAL ANGLONA ROMANGIA'!U12+'GAL BARBAGIA_GAL BARIGADU'!U19+'GAL BARBAGIA_GAL BARIGADU'!U34+'GAL CAMPIDANO_GAL BMG'!U19+'GAL CAMPIDANO_GAL BMG'!U50+'GAL GALLURA_GAL LINAS'!U23+'GAL GALLURA_GAL LINAS'!U46+'GAL LOGUDORO_GAL MARGHINE'!U16+'GAL LOGUDORO_GAL MARGHINE'!U32+'GAL MARMILLA_GAL NUORESE B.'!U23+'GAL MARMILLA_GAL NUORESE B.'!U40+'GAL OGLIASTRA_GAL SARCIDANO'!U24+'GAL OGLIASTRA_GAL SARCIDANO'!U41+'GAL SGT_GAL SINIS'!U19+'GAL SGT_GAL SINIS'!U40+'GAL SULCIS_GAL TERRAS DE OLIA'!U17+'GAL SULCIS_GAL TERRAS DE OLIA'!U41-206999.51</f>
        <v>19047940.949999999</v>
      </c>
      <c r="U14" s="22">
        <v>94</v>
      </c>
      <c r="V14" s="22">
        <f>2759283.11-206999.51</f>
        <v>2552283.5999999996</v>
      </c>
      <c r="W14" s="22">
        <v>157</v>
      </c>
      <c r="X14" s="22">
        <v>4997011.88</v>
      </c>
      <c r="Y14" s="22">
        <v>261</v>
      </c>
      <c r="Z14" s="22">
        <v>11498645.470000012</v>
      </c>
    </row>
    <row r="15" spans="1:26" s="23" customFormat="1" x14ac:dyDescent="0.25">
      <c r="A15" s="3" t="s">
        <v>230</v>
      </c>
      <c r="B15" s="58">
        <v>9381</v>
      </c>
      <c r="C15" s="1145"/>
      <c r="D15" s="111">
        <v>45473</v>
      </c>
      <c r="E15" s="91">
        <v>53</v>
      </c>
      <c r="F15" s="188">
        <v>9638626.8099999987</v>
      </c>
      <c r="G15" s="189">
        <v>2</v>
      </c>
      <c r="H15" s="189">
        <v>284032</v>
      </c>
      <c r="I15" s="91">
        <f>E15-G15-N15</f>
        <v>49</v>
      </c>
      <c r="J15" s="91">
        <f>F15-H15-O15</f>
        <v>8790071.9799999986</v>
      </c>
      <c r="K15" s="118">
        <v>48</v>
      </c>
      <c r="L15" s="118">
        <v>47</v>
      </c>
      <c r="M15" s="118">
        <v>7602693.4399999985</v>
      </c>
      <c r="N15" s="230">
        <v>2</v>
      </c>
      <c r="O15" s="230">
        <v>564522.82999999996</v>
      </c>
      <c r="P15" s="18">
        <f>J15-M15</f>
        <v>1187378.54</v>
      </c>
      <c r="Q15" s="118">
        <v>24</v>
      </c>
      <c r="R15" s="118">
        <v>1860958.2599999995</v>
      </c>
      <c r="S15" s="22">
        <v>14</v>
      </c>
      <c r="T15" s="22">
        <v>1143804.25</v>
      </c>
      <c r="U15" s="22">
        <v>0</v>
      </c>
      <c r="V15" s="22">
        <v>0</v>
      </c>
      <c r="W15" s="22">
        <v>10</v>
      </c>
      <c r="X15" s="22">
        <v>808450.57</v>
      </c>
      <c r="Y15" s="22">
        <v>3</v>
      </c>
      <c r="Z15" s="22">
        <v>335353.68000000005</v>
      </c>
    </row>
    <row r="16" spans="1:26" x14ac:dyDescent="0.25">
      <c r="A16" s="19" t="s">
        <v>231</v>
      </c>
      <c r="B16" s="60"/>
      <c r="C16" s="20">
        <f>C14</f>
        <v>78729496.424594194</v>
      </c>
      <c r="D16" s="20"/>
      <c r="E16" s="20">
        <f t="shared" ref="E16:L16" si="1">SUM(E14:E15)</f>
        <v>1688</v>
      </c>
      <c r="F16" s="20">
        <f t="shared" si="1"/>
        <v>102985174.11000001</v>
      </c>
      <c r="G16" s="20">
        <f t="shared" si="1"/>
        <v>26</v>
      </c>
      <c r="H16" s="20">
        <f t="shared" si="1"/>
        <v>1244620.5099999998</v>
      </c>
      <c r="I16" s="20">
        <f t="shared" si="1"/>
        <v>1228</v>
      </c>
      <c r="J16" s="20">
        <f t="shared" si="1"/>
        <v>78146087.379999995</v>
      </c>
      <c r="K16" s="20">
        <f t="shared" si="1"/>
        <v>1159</v>
      </c>
      <c r="L16" s="20">
        <f t="shared" si="1"/>
        <v>1115</v>
      </c>
      <c r="M16" s="20">
        <f t="shared" ref="M16:Z16" si="2">SUM(M14:M15)</f>
        <v>70101189.949999988</v>
      </c>
      <c r="N16" s="20">
        <f t="shared" si="2"/>
        <v>337</v>
      </c>
      <c r="O16" s="20">
        <f t="shared" si="2"/>
        <v>14996034.340000002</v>
      </c>
      <c r="P16" s="20">
        <f t="shared" si="2"/>
        <v>8044897.4300000006</v>
      </c>
      <c r="Q16" s="20">
        <f t="shared" si="2"/>
        <v>991</v>
      </c>
      <c r="R16" s="20">
        <f t="shared" si="2"/>
        <v>32823475.449999999</v>
      </c>
      <c r="S16" s="20">
        <f t="shared" si="2"/>
        <v>685</v>
      </c>
      <c r="T16" s="20">
        <f>SUM(T14:T15)</f>
        <v>20191745.199999999</v>
      </c>
      <c r="U16" s="20">
        <f t="shared" si="2"/>
        <v>94</v>
      </c>
      <c r="V16" s="20">
        <f>SUM(V14:V15)</f>
        <v>2552283.5999999996</v>
      </c>
      <c r="W16" s="20">
        <f t="shared" si="2"/>
        <v>167</v>
      </c>
      <c r="X16" s="20">
        <f>SUM(X14:X15)</f>
        <v>5805462.4500000002</v>
      </c>
      <c r="Y16" s="20">
        <f t="shared" si="2"/>
        <v>264</v>
      </c>
      <c r="Z16" s="20">
        <f t="shared" si="2"/>
        <v>11833999.150000012</v>
      </c>
    </row>
    <row r="17" spans="1:27" s="23" customFormat="1" ht="15.75" customHeight="1" x14ac:dyDescent="0.25">
      <c r="A17" s="826" t="s">
        <v>544</v>
      </c>
      <c r="B17" s="826"/>
      <c r="C17" s="826"/>
      <c r="D17" s="826"/>
      <c r="E17" s="826"/>
      <c r="F17" s="826"/>
      <c r="G17" s="826"/>
      <c r="H17" s="826"/>
      <c r="I17" s="826"/>
      <c r="J17" s="826"/>
      <c r="K17" s="826"/>
      <c r="L17" s="826"/>
      <c r="M17" s="826"/>
      <c r="N17" s="826"/>
      <c r="O17" s="826"/>
      <c r="P17" s="826"/>
      <c r="Q17" s="826"/>
      <c r="R17" s="826"/>
      <c r="S17" s="826"/>
      <c r="T17" s="826"/>
      <c r="U17" s="162"/>
    </row>
    <row r="18" spans="1:27" ht="15.75" customHeight="1" x14ac:dyDescent="0.25">
      <c r="A18" s="219" t="s">
        <v>390</v>
      </c>
      <c r="B18" s="201"/>
      <c r="C18" s="201"/>
      <c r="D18" s="201"/>
      <c r="E18" s="201"/>
      <c r="F18" s="201"/>
      <c r="G18" s="201"/>
      <c r="H18" s="201"/>
      <c r="I18" s="201"/>
      <c r="J18" s="201"/>
      <c r="K18" s="201"/>
      <c r="L18" s="201"/>
      <c r="M18" s="201"/>
      <c r="N18" s="201"/>
      <c r="O18" s="201"/>
      <c r="P18" s="201"/>
      <c r="Q18" s="201"/>
      <c r="R18" s="201"/>
      <c r="S18" s="201"/>
      <c r="T18" s="201"/>
      <c r="X18" s="50"/>
      <c r="Z18" s="50"/>
    </row>
    <row r="19" spans="1:27" ht="16.149999999999999" customHeight="1" x14ac:dyDescent="0.25">
      <c r="A19" s="981" t="s">
        <v>732</v>
      </c>
      <c r="B19" s="981"/>
      <c r="C19" s="981"/>
      <c r="D19" s="981"/>
      <c r="E19" s="981"/>
      <c r="F19" s="981"/>
      <c r="G19" s="981"/>
      <c r="H19" s="981"/>
      <c r="I19" s="981"/>
      <c r="J19" s="981"/>
      <c r="K19" s="981"/>
      <c r="L19" s="981"/>
      <c r="M19" s="981"/>
      <c r="N19" s="981"/>
      <c r="O19" s="981"/>
      <c r="P19" s="981"/>
      <c r="Q19" s="981"/>
      <c r="R19" s="981"/>
      <c r="S19" s="981"/>
      <c r="T19" s="981"/>
      <c r="U19" s="981"/>
      <c r="V19" s="981"/>
      <c r="W19" s="981"/>
      <c r="X19" s="981"/>
      <c r="Y19" s="981"/>
      <c r="Z19" s="981"/>
      <c r="AA19" s="981"/>
    </row>
    <row r="20" spans="1:27" ht="18" customHeight="1" x14ac:dyDescent="0.25">
      <c r="A20" s="14" t="s">
        <v>256</v>
      </c>
      <c r="B20" s="14"/>
    </row>
    <row r="21" spans="1:27" s="12" customFormat="1" ht="28.9" customHeight="1" x14ac:dyDescent="0.2">
      <c r="A21" s="966" t="s">
        <v>156</v>
      </c>
      <c r="B21" s="966" t="s">
        <v>282</v>
      </c>
      <c r="C21" s="966" t="s">
        <v>157</v>
      </c>
      <c r="D21" s="966" t="s">
        <v>158</v>
      </c>
      <c r="E21" s="997" t="s">
        <v>337</v>
      </c>
      <c r="F21" s="998"/>
      <c r="G21" s="997" t="s">
        <v>277</v>
      </c>
      <c r="H21" s="998"/>
      <c r="I21" s="997" t="s">
        <v>159</v>
      </c>
      <c r="J21" s="998"/>
      <c r="K21" s="976" t="s">
        <v>717</v>
      </c>
      <c r="L21" s="977"/>
      <c r="M21" s="977"/>
      <c r="N21" s="977"/>
      <c r="O21" s="978"/>
      <c r="P21" s="966" t="s">
        <v>250</v>
      </c>
      <c r="Q21" s="969" t="s">
        <v>718</v>
      </c>
      <c r="R21" s="970"/>
      <c r="S21" s="969" t="s">
        <v>719</v>
      </c>
      <c r="T21" s="970"/>
      <c r="U21" s="982" t="s">
        <v>719</v>
      </c>
      <c r="V21" s="982"/>
      <c r="W21" s="982"/>
      <c r="X21" s="982"/>
      <c r="Y21" s="982"/>
      <c r="Z21" s="982"/>
    </row>
    <row r="22" spans="1:27" s="12" customFormat="1" ht="14.45" customHeight="1" x14ac:dyDescent="0.2">
      <c r="A22" s="967"/>
      <c r="B22" s="967"/>
      <c r="C22" s="967"/>
      <c r="D22" s="967"/>
      <c r="E22" s="971"/>
      <c r="F22" s="972"/>
      <c r="G22" s="971"/>
      <c r="H22" s="972"/>
      <c r="I22" s="971"/>
      <c r="J22" s="972"/>
      <c r="K22" s="1143" t="s">
        <v>160</v>
      </c>
      <c r="L22" s="977"/>
      <c r="M22" s="978"/>
      <c r="N22" s="997" t="s">
        <v>631</v>
      </c>
      <c r="O22" s="998"/>
      <c r="P22" s="967"/>
      <c r="Q22" s="971"/>
      <c r="R22" s="972"/>
      <c r="S22" s="971"/>
      <c r="T22" s="972"/>
      <c r="U22" s="982"/>
      <c r="V22" s="982"/>
      <c r="W22" s="982"/>
      <c r="X22" s="982"/>
      <c r="Y22" s="982"/>
      <c r="Z22" s="982"/>
    </row>
    <row r="23" spans="1:27" s="12" customFormat="1" ht="20.25" customHeight="1" x14ac:dyDescent="0.2">
      <c r="A23" s="967"/>
      <c r="B23" s="967"/>
      <c r="C23" s="967"/>
      <c r="D23" s="967"/>
      <c r="E23" s="973"/>
      <c r="F23" s="974"/>
      <c r="G23" s="973"/>
      <c r="H23" s="974"/>
      <c r="I23" s="973"/>
      <c r="J23" s="974"/>
      <c r="K23" s="979" t="s">
        <v>161</v>
      </c>
      <c r="L23" s="1143" t="s">
        <v>247</v>
      </c>
      <c r="M23" s="978"/>
      <c r="N23" s="973"/>
      <c r="O23" s="974"/>
      <c r="P23" s="975"/>
      <c r="Q23" s="973"/>
      <c r="R23" s="974"/>
      <c r="S23" s="973"/>
      <c r="T23" s="974"/>
      <c r="U23" s="982" t="s">
        <v>587</v>
      </c>
      <c r="V23" s="982"/>
      <c r="W23" s="982" t="s">
        <v>588</v>
      </c>
      <c r="X23" s="982"/>
      <c r="Y23" s="982" t="s">
        <v>589</v>
      </c>
      <c r="Z23" s="982"/>
    </row>
    <row r="24" spans="1:27" s="12" customFormat="1" ht="21" x14ac:dyDescent="0.2">
      <c r="A24" s="968"/>
      <c r="B24" s="975"/>
      <c r="C24" s="968"/>
      <c r="D24" s="968"/>
      <c r="E24" s="160" t="s">
        <v>161</v>
      </c>
      <c r="F24" s="130" t="s">
        <v>162</v>
      </c>
      <c r="G24" s="15" t="s">
        <v>161</v>
      </c>
      <c r="H24" s="16" t="s">
        <v>162</v>
      </c>
      <c r="I24" s="160" t="s">
        <v>161</v>
      </c>
      <c r="J24" s="130" t="s">
        <v>162</v>
      </c>
      <c r="K24" s="1142"/>
      <c r="L24" s="160" t="s">
        <v>161</v>
      </c>
      <c r="M24" s="130" t="s">
        <v>162</v>
      </c>
      <c r="N24" s="160" t="s">
        <v>161</v>
      </c>
      <c r="O24" s="130" t="s">
        <v>162</v>
      </c>
      <c r="P24" s="16" t="s">
        <v>162</v>
      </c>
      <c r="Q24" s="15" t="s">
        <v>161</v>
      </c>
      <c r="R24" s="16" t="s">
        <v>162</v>
      </c>
      <c r="S24" s="78" t="s">
        <v>161</v>
      </c>
      <c r="T24" s="79" t="s">
        <v>162</v>
      </c>
      <c r="U24" s="227" t="s">
        <v>161</v>
      </c>
      <c r="V24" s="218" t="s">
        <v>162</v>
      </c>
      <c r="W24" s="227" t="s">
        <v>161</v>
      </c>
      <c r="X24" s="218" t="s">
        <v>162</v>
      </c>
      <c r="Y24" s="227" t="s">
        <v>161</v>
      </c>
      <c r="Z24" s="218" t="s">
        <v>162</v>
      </c>
    </row>
    <row r="25" spans="1:27" ht="30.75" customHeight="1" x14ac:dyDescent="0.25">
      <c r="A25" s="42" t="s">
        <v>110</v>
      </c>
      <c r="B25" s="143">
        <v>9086</v>
      </c>
      <c r="C25" s="196">
        <v>2880212</v>
      </c>
      <c r="D25" s="126">
        <v>43251</v>
      </c>
      <c r="E25" s="91">
        <v>34</v>
      </c>
      <c r="F25" s="97">
        <v>2415143.2000000002</v>
      </c>
      <c r="G25" s="97">
        <v>1</v>
      </c>
      <c r="H25" s="97">
        <v>80000</v>
      </c>
      <c r="I25" s="91">
        <v>34</v>
      </c>
      <c r="J25" s="196">
        <v>2363454.1</v>
      </c>
      <c r="K25" s="59">
        <v>33</v>
      </c>
      <c r="L25" s="59">
        <v>33</v>
      </c>
      <c r="M25" s="59">
        <v>2293330.8800000004</v>
      </c>
      <c r="N25" s="196">
        <v>0</v>
      </c>
      <c r="O25" s="196">
        <v>0</v>
      </c>
      <c r="P25" s="232">
        <v>0</v>
      </c>
      <c r="Q25" s="38">
        <v>21</v>
      </c>
      <c r="R25" s="38">
        <v>946753.75</v>
      </c>
      <c r="S25" s="38">
        <v>14</v>
      </c>
      <c r="T25" s="38">
        <v>685834.50999999978</v>
      </c>
      <c r="U25" s="22">
        <v>0</v>
      </c>
      <c r="V25" s="22">
        <v>0</v>
      </c>
      <c r="W25" s="22">
        <v>6</v>
      </c>
      <c r="X25" s="22">
        <v>220164.65</v>
      </c>
      <c r="Y25" s="22">
        <v>6</v>
      </c>
      <c r="Z25" s="22">
        <v>465669.86</v>
      </c>
    </row>
    <row r="26" spans="1:27" x14ac:dyDescent="0.25">
      <c r="A26" s="19" t="s">
        <v>232</v>
      </c>
      <c r="B26" s="60"/>
      <c r="C26" s="20">
        <f>SUM(C25:C25)</f>
        <v>2880212</v>
      </c>
      <c r="D26" s="20"/>
      <c r="E26" s="20">
        <f t="shared" ref="E26:T26" si="3">SUM(E25:E25)</f>
        <v>34</v>
      </c>
      <c r="F26" s="20">
        <f t="shared" si="3"/>
        <v>2415143.2000000002</v>
      </c>
      <c r="G26" s="20">
        <f t="shared" si="3"/>
        <v>1</v>
      </c>
      <c r="H26" s="20">
        <f t="shared" si="3"/>
        <v>80000</v>
      </c>
      <c r="I26" s="20">
        <f t="shared" si="3"/>
        <v>34</v>
      </c>
      <c r="J26" s="20">
        <f t="shared" si="3"/>
        <v>2363454.1</v>
      </c>
      <c r="K26" s="20">
        <f t="shared" si="3"/>
        <v>33</v>
      </c>
      <c r="L26" s="20">
        <f t="shared" si="3"/>
        <v>33</v>
      </c>
      <c r="M26" s="20">
        <f t="shared" si="3"/>
        <v>2293330.8800000004</v>
      </c>
      <c r="N26" s="20">
        <f t="shared" si="3"/>
        <v>0</v>
      </c>
      <c r="O26" s="20">
        <f t="shared" si="3"/>
        <v>0</v>
      </c>
      <c r="P26" s="20">
        <f t="shared" si="3"/>
        <v>0</v>
      </c>
      <c r="Q26" s="20">
        <f t="shared" si="3"/>
        <v>21</v>
      </c>
      <c r="R26" s="20">
        <f t="shared" si="3"/>
        <v>946753.75</v>
      </c>
      <c r="S26" s="20">
        <f t="shared" si="3"/>
        <v>14</v>
      </c>
      <c r="T26" s="20">
        <f t="shared" si="3"/>
        <v>685834.50999999978</v>
      </c>
      <c r="U26" s="20">
        <f t="shared" ref="U26:Z26" si="4">SUM(U25:U25)</f>
        <v>0</v>
      </c>
      <c r="V26" s="20">
        <f t="shared" si="4"/>
        <v>0</v>
      </c>
      <c r="W26" s="20">
        <f t="shared" si="4"/>
        <v>6</v>
      </c>
      <c r="X26" s="20">
        <f t="shared" si="4"/>
        <v>220164.65</v>
      </c>
      <c r="Y26" s="20">
        <f t="shared" si="4"/>
        <v>6</v>
      </c>
      <c r="Z26" s="20">
        <f t="shared" si="4"/>
        <v>465669.86</v>
      </c>
    </row>
    <row r="27" spans="1:27" s="23" customFormat="1" ht="13.5" customHeight="1" x14ac:dyDescent="0.25">
      <c r="A27" s="826" t="s">
        <v>544</v>
      </c>
      <c r="B27" s="826"/>
      <c r="C27" s="826"/>
      <c r="D27" s="826"/>
      <c r="E27" s="826"/>
      <c r="F27" s="826"/>
      <c r="G27" s="826"/>
      <c r="H27" s="826"/>
      <c r="I27" s="826"/>
      <c r="J27" s="826"/>
      <c r="K27" s="826"/>
      <c r="L27" s="826"/>
      <c r="M27" s="826"/>
      <c r="N27" s="826"/>
      <c r="O27" s="826"/>
      <c r="P27" s="826"/>
      <c r="Q27" s="826"/>
      <c r="R27" s="826"/>
      <c r="S27" s="826"/>
      <c r="T27" s="826"/>
      <c r="U27" s="162"/>
    </row>
    <row r="28" spans="1:27" ht="28.15" customHeight="1" x14ac:dyDescent="0.25">
      <c r="A28" s="14" t="s">
        <v>257</v>
      </c>
      <c r="B28" s="14"/>
    </row>
    <row r="29" spans="1:27" s="12" customFormat="1" ht="28.9" customHeight="1" x14ac:dyDescent="0.2">
      <c r="A29" s="966" t="s">
        <v>156</v>
      </c>
      <c r="B29" s="966" t="s">
        <v>282</v>
      </c>
      <c r="C29" s="966" t="s">
        <v>157</v>
      </c>
      <c r="D29" s="966" t="s">
        <v>158</v>
      </c>
      <c r="E29" s="997" t="s">
        <v>337</v>
      </c>
      <c r="F29" s="998"/>
      <c r="G29" s="997" t="s">
        <v>277</v>
      </c>
      <c r="H29" s="998"/>
      <c r="I29" s="997" t="s">
        <v>159</v>
      </c>
      <c r="J29" s="998"/>
      <c r="K29" s="976" t="s">
        <v>717</v>
      </c>
      <c r="L29" s="977"/>
      <c r="M29" s="977"/>
      <c r="N29" s="977"/>
      <c r="O29" s="978"/>
      <c r="P29" s="966" t="s">
        <v>250</v>
      </c>
      <c r="Q29" s="969" t="s">
        <v>718</v>
      </c>
      <c r="R29" s="970"/>
      <c r="S29" s="969" t="s">
        <v>719</v>
      </c>
      <c r="T29" s="970"/>
      <c r="U29" s="982" t="s">
        <v>719</v>
      </c>
      <c r="V29" s="982"/>
      <c r="W29" s="982"/>
      <c r="X29" s="982"/>
      <c r="Y29" s="982"/>
      <c r="Z29" s="982"/>
    </row>
    <row r="30" spans="1:27" s="12" customFormat="1" ht="14.45" customHeight="1" x14ac:dyDescent="0.2">
      <c r="A30" s="967"/>
      <c r="B30" s="967"/>
      <c r="C30" s="967"/>
      <c r="D30" s="967"/>
      <c r="E30" s="971"/>
      <c r="F30" s="972"/>
      <c r="G30" s="971"/>
      <c r="H30" s="972"/>
      <c r="I30" s="971"/>
      <c r="J30" s="972"/>
      <c r="K30" s="1143" t="s">
        <v>160</v>
      </c>
      <c r="L30" s="977"/>
      <c r="M30" s="978"/>
      <c r="N30" s="997" t="s">
        <v>631</v>
      </c>
      <c r="O30" s="998"/>
      <c r="P30" s="967"/>
      <c r="Q30" s="971"/>
      <c r="R30" s="972"/>
      <c r="S30" s="971"/>
      <c r="T30" s="972"/>
      <c r="U30" s="982"/>
      <c r="V30" s="982"/>
      <c r="W30" s="982"/>
      <c r="X30" s="982"/>
      <c r="Y30" s="982"/>
      <c r="Z30" s="982"/>
    </row>
    <row r="31" spans="1:27" s="12" customFormat="1" ht="20.25" customHeight="1" x14ac:dyDescent="0.2">
      <c r="A31" s="967"/>
      <c r="B31" s="967"/>
      <c r="C31" s="967"/>
      <c r="D31" s="967"/>
      <c r="E31" s="973"/>
      <c r="F31" s="974"/>
      <c r="G31" s="973"/>
      <c r="H31" s="974"/>
      <c r="I31" s="973"/>
      <c r="J31" s="974"/>
      <c r="K31" s="979" t="s">
        <v>161</v>
      </c>
      <c r="L31" s="1143" t="s">
        <v>247</v>
      </c>
      <c r="M31" s="978"/>
      <c r="N31" s="973"/>
      <c r="O31" s="974"/>
      <c r="P31" s="975"/>
      <c r="Q31" s="973"/>
      <c r="R31" s="974"/>
      <c r="S31" s="973"/>
      <c r="T31" s="974"/>
      <c r="U31" s="982" t="s">
        <v>587</v>
      </c>
      <c r="V31" s="982"/>
      <c r="W31" s="982" t="s">
        <v>588</v>
      </c>
      <c r="X31" s="982"/>
      <c r="Y31" s="982" t="s">
        <v>589</v>
      </c>
      <c r="Z31" s="982"/>
    </row>
    <row r="32" spans="1:27" s="12" customFormat="1" ht="21" x14ac:dyDescent="0.2">
      <c r="A32" s="968"/>
      <c r="B32" s="975"/>
      <c r="C32" s="968"/>
      <c r="D32" s="968"/>
      <c r="E32" s="160" t="s">
        <v>161</v>
      </c>
      <c r="F32" s="130" t="s">
        <v>162</v>
      </c>
      <c r="G32" s="15" t="s">
        <v>161</v>
      </c>
      <c r="H32" s="16" t="s">
        <v>162</v>
      </c>
      <c r="I32" s="160" t="s">
        <v>161</v>
      </c>
      <c r="J32" s="130" t="s">
        <v>162</v>
      </c>
      <c r="K32" s="1142"/>
      <c r="L32" s="160" t="s">
        <v>161</v>
      </c>
      <c r="M32" s="130" t="s">
        <v>162</v>
      </c>
      <c r="N32" s="160" t="s">
        <v>161</v>
      </c>
      <c r="O32" s="130" t="s">
        <v>162</v>
      </c>
      <c r="P32" s="16" t="s">
        <v>162</v>
      </c>
      <c r="Q32" s="15" t="s">
        <v>161</v>
      </c>
      <c r="R32" s="16" t="s">
        <v>162</v>
      </c>
      <c r="S32" s="78" t="s">
        <v>161</v>
      </c>
      <c r="T32" s="79" t="s">
        <v>162</v>
      </c>
      <c r="U32" s="227" t="s">
        <v>161</v>
      </c>
      <c r="V32" s="218" t="s">
        <v>162</v>
      </c>
      <c r="W32" s="227" t="s">
        <v>161</v>
      </c>
      <c r="X32" s="218" t="s">
        <v>162</v>
      </c>
      <c r="Y32" s="227" t="s">
        <v>161</v>
      </c>
      <c r="Z32" s="218" t="s">
        <v>162</v>
      </c>
    </row>
    <row r="33" spans="1:27" s="23" customFormat="1" ht="33.75" x14ac:dyDescent="0.25">
      <c r="A33" s="58" t="s">
        <v>233</v>
      </c>
      <c r="B33" s="58">
        <v>8821</v>
      </c>
      <c r="C33" s="59">
        <v>16924299.284918845</v>
      </c>
      <c r="D33" s="111">
        <v>43374.999988425923</v>
      </c>
      <c r="E33" s="366">
        <v>46</v>
      </c>
      <c r="F33" s="376">
        <v>16443740.529999997</v>
      </c>
      <c r="G33" s="97">
        <v>0</v>
      </c>
      <c r="H33" s="97">
        <v>0</v>
      </c>
      <c r="I33" s="366">
        <v>46</v>
      </c>
      <c r="J33" s="376">
        <v>16366033.25</v>
      </c>
      <c r="K33" s="366">
        <v>46</v>
      </c>
      <c r="L33" s="437">
        <v>46</v>
      </c>
      <c r="M33" s="366">
        <v>16366033.25</v>
      </c>
      <c r="N33" s="388">
        <v>0</v>
      </c>
      <c r="O33" s="366">
        <v>0</v>
      </c>
      <c r="P33" s="59">
        <f>J33-M33</f>
        <v>0</v>
      </c>
      <c r="Q33" s="133">
        <v>75</v>
      </c>
      <c r="R33" s="165">
        <v>11507443.799999995</v>
      </c>
      <c r="S33" s="57">
        <v>60</v>
      </c>
      <c r="T33" s="59">
        <v>10427375.65</v>
      </c>
      <c r="U33" s="22">
        <v>1</v>
      </c>
      <c r="V33" s="22">
        <v>403610.26</v>
      </c>
      <c r="W33" s="22">
        <v>19</v>
      </c>
      <c r="X33" s="22">
        <v>6333367.0800000001</v>
      </c>
      <c r="Y33" s="22">
        <v>8</v>
      </c>
      <c r="Z33" s="22">
        <v>3690398.31</v>
      </c>
    </row>
    <row r="34" spans="1:27" ht="20.25" customHeight="1" x14ac:dyDescent="0.25">
      <c r="A34" s="60" t="s">
        <v>234</v>
      </c>
      <c r="B34" s="60"/>
      <c r="C34" s="61">
        <f>C33</f>
        <v>16924299.284918845</v>
      </c>
      <c r="D34" s="61"/>
      <c r="E34" s="61">
        <f t="shared" ref="E34:S34" si="5">SUM(E33:E33)</f>
        <v>46</v>
      </c>
      <c r="F34" s="61">
        <f t="shared" si="5"/>
        <v>16443740.529999997</v>
      </c>
      <c r="G34" s="61">
        <f t="shared" si="5"/>
        <v>0</v>
      </c>
      <c r="H34" s="61">
        <f t="shared" si="5"/>
        <v>0</v>
      </c>
      <c r="I34" s="61">
        <f t="shared" si="5"/>
        <v>46</v>
      </c>
      <c r="J34" s="61">
        <f t="shared" si="5"/>
        <v>16366033.25</v>
      </c>
      <c r="K34" s="61">
        <f t="shared" si="5"/>
        <v>46</v>
      </c>
      <c r="L34" s="61">
        <f t="shared" si="5"/>
        <v>46</v>
      </c>
      <c r="M34" s="61">
        <f>SUM(M33:M33)</f>
        <v>16366033.25</v>
      </c>
      <c r="N34" s="61">
        <f t="shared" si="5"/>
        <v>0</v>
      </c>
      <c r="O34" s="61">
        <f t="shared" si="5"/>
        <v>0</v>
      </c>
      <c r="P34" s="61">
        <f t="shared" si="5"/>
        <v>0</v>
      </c>
      <c r="Q34" s="61">
        <f t="shared" si="5"/>
        <v>75</v>
      </c>
      <c r="R34" s="61">
        <f>SUM(R33:R33)</f>
        <v>11507443.799999995</v>
      </c>
      <c r="S34" s="61">
        <f t="shared" si="5"/>
        <v>60</v>
      </c>
      <c r="T34" s="61">
        <f>SUM(T33:T33)</f>
        <v>10427375.65</v>
      </c>
      <c r="U34" s="20">
        <f t="shared" ref="U34:Z34" si="6">SUM(U33:U33)</f>
        <v>1</v>
      </c>
      <c r="V34" s="20">
        <f t="shared" si="6"/>
        <v>403610.26</v>
      </c>
      <c r="W34" s="20">
        <f t="shared" si="6"/>
        <v>19</v>
      </c>
      <c r="X34" s="20">
        <f t="shared" si="6"/>
        <v>6333367.0800000001</v>
      </c>
      <c r="Y34" s="20">
        <f t="shared" si="6"/>
        <v>8</v>
      </c>
      <c r="Z34" s="20">
        <f t="shared" si="6"/>
        <v>3690398.31</v>
      </c>
    </row>
    <row r="35" spans="1:27" s="23" customFormat="1" x14ac:dyDescent="0.25">
      <c r="A35" s="826" t="s">
        <v>544</v>
      </c>
      <c r="B35" s="826"/>
      <c r="C35" s="826"/>
      <c r="D35" s="826"/>
      <c r="E35" s="826"/>
      <c r="F35" s="826"/>
      <c r="G35" s="826"/>
      <c r="H35" s="826"/>
      <c r="I35" s="826"/>
      <c r="J35" s="826"/>
      <c r="K35" s="826"/>
      <c r="L35" s="826"/>
      <c r="M35" s="826"/>
      <c r="N35" s="826"/>
      <c r="O35" s="826"/>
      <c r="P35" s="826"/>
      <c r="Q35" s="826"/>
      <c r="R35" s="826"/>
      <c r="S35" s="826"/>
      <c r="T35" s="826"/>
      <c r="U35" s="162"/>
    </row>
    <row r="36" spans="1:27" ht="15" customHeight="1" x14ac:dyDescent="0.25">
      <c r="A36" s="219" t="s">
        <v>390</v>
      </c>
      <c r="B36" s="140"/>
      <c r="C36" s="140"/>
      <c r="D36" s="140"/>
      <c r="E36" s="140"/>
      <c r="F36" s="140"/>
      <c r="G36" s="140"/>
      <c r="H36" s="140"/>
      <c r="I36" s="140"/>
      <c r="J36" s="140"/>
      <c r="K36" s="140"/>
      <c r="L36" s="140"/>
      <c r="M36" s="140"/>
      <c r="N36" s="140"/>
      <c r="O36" s="140"/>
      <c r="P36" s="140"/>
      <c r="Q36" s="140"/>
      <c r="R36" s="140"/>
      <c r="U36"/>
    </row>
    <row r="37" spans="1:27" s="23" customFormat="1" ht="19.149999999999999" customHeight="1" x14ac:dyDescent="0.25">
      <c r="A37" s="981" t="s">
        <v>732</v>
      </c>
      <c r="B37" s="981"/>
      <c r="C37" s="981"/>
      <c r="D37" s="981"/>
      <c r="E37" s="981"/>
      <c r="F37" s="981"/>
      <c r="G37" s="981"/>
      <c r="H37" s="981"/>
      <c r="I37" s="981"/>
      <c r="J37" s="981"/>
      <c r="K37" s="981"/>
      <c r="L37" s="981"/>
      <c r="M37" s="981"/>
      <c r="N37" s="981"/>
      <c r="O37" s="981"/>
      <c r="P37" s="981"/>
      <c r="Q37" s="981"/>
      <c r="R37" s="981"/>
      <c r="S37" s="981"/>
      <c r="T37" s="981"/>
      <c r="U37" s="981"/>
      <c r="V37" s="981"/>
      <c r="W37" s="981"/>
      <c r="X37" s="981"/>
      <c r="Y37" s="981"/>
      <c r="Z37" s="981"/>
      <c r="AA37" s="981"/>
    </row>
    <row r="40" spans="1:27" x14ac:dyDescent="0.25">
      <c r="E40" s="50"/>
      <c r="I40" s="50"/>
    </row>
    <row r="41" spans="1:27" x14ac:dyDescent="0.25">
      <c r="K41" s="50"/>
    </row>
  </sheetData>
  <mergeCells count="85">
    <mergeCell ref="A37:AA37"/>
    <mergeCell ref="A19:AA19"/>
    <mergeCell ref="U29:Z30"/>
    <mergeCell ref="U31:V31"/>
    <mergeCell ref="W31:X31"/>
    <mergeCell ref="Y31:Z31"/>
    <mergeCell ref="A35:T35"/>
    <mergeCell ref="A29:A32"/>
    <mergeCell ref="C29:C32"/>
    <mergeCell ref="P29:P31"/>
    <mergeCell ref="D29:D32"/>
    <mergeCell ref="B29:B32"/>
    <mergeCell ref="G29:H31"/>
    <mergeCell ref="K29:O29"/>
    <mergeCell ref="E29:F31"/>
    <mergeCell ref="I29:J31"/>
    <mergeCell ref="S29:T31"/>
    <mergeCell ref="U12:V12"/>
    <mergeCell ref="W12:X12"/>
    <mergeCell ref="Y12:Z12"/>
    <mergeCell ref="U21:Z22"/>
    <mergeCell ref="U23:V23"/>
    <mergeCell ref="W23:X23"/>
    <mergeCell ref="Y23:Z23"/>
    <mergeCell ref="A27:T27"/>
    <mergeCell ref="E21:F23"/>
    <mergeCell ref="G21:H23"/>
    <mergeCell ref="N22:O23"/>
    <mergeCell ref="K23:K24"/>
    <mergeCell ref="L23:M23"/>
    <mergeCell ref="K22:M22"/>
    <mergeCell ref="B21:B24"/>
    <mergeCell ref="C21:C24"/>
    <mergeCell ref="D21:D24"/>
    <mergeCell ref="C14:C15"/>
    <mergeCell ref="A21:A24"/>
    <mergeCell ref="A17:T17"/>
    <mergeCell ref="S21:T23"/>
    <mergeCell ref="U2:Z3"/>
    <mergeCell ref="U4:V4"/>
    <mergeCell ref="W4:X4"/>
    <mergeCell ref="Y4:Z4"/>
    <mergeCell ref="U10:Z11"/>
    <mergeCell ref="A1:D1"/>
    <mergeCell ref="I21:J23"/>
    <mergeCell ref="K21:O21"/>
    <mergeCell ref="P21:P23"/>
    <mergeCell ref="Q21:R23"/>
    <mergeCell ref="P2:P4"/>
    <mergeCell ref="A8:T8"/>
    <mergeCell ref="Q2:R4"/>
    <mergeCell ref="S2:T4"/>
    <mergeCell ref="K3:M3"/>
    <mergeCell ref="K4:K5"/>
    <mergeCell ref="L4:M4"/>
    <mergeCell ref="N3:O4"/>
    <mergeCell ref="K2:O2"/>
    <mergeCell ref="A2:A5"/>
    <mergeCell ref="C2:C5"/>
    <mergeCell ref="K30:M30"/>
    <mergeCell ref="N30:O31"/>
    <mergeCell ref="K31:K32"/>
    <mergeCell ref="L31:M31"/>
    <mergeCell ref="Q29:R31"/>
    <mergeCell ref="D2:D5"/>
    <mergeCell ref="E2:F4"/>
    <mergeCell ref="I2:J4"/>
    <mergeCell ref="B2:B5"/>
    <mergeCell ref="G2:H4"/>
    <mergeCell ref="A9:T9"/>
    <mergeCell ref="K12:K13"/>
    <mergeCell ref="G10:H12"/>
    <mergeCell ref="D10:D13"/>
    <mergeCell ref="E10:F12"/>
    <mergeCell ref="B10:B13"/>
    <mergeCell ref="C10:C13"/>
    <mergeCell ref="K10:O10"/>
    <mergeCell ref="Q10:R12"/>
    <mergeCell ref="P10:P12"/>
    <mergeCell ref="I10:J12"/>
    <mergeCell ref="L12:M12"/>
    <mergeCell ref="S10:T12"/>
    <mergeCell ref="K11:M11"/>
    <mergeCell ref="N11:O12"/>
    <mergeCell ref="A10:A13"/>
  </mergeCells>
  <pageMargins left="0.51181102362204722" right="0.51181102362204722" top="0.74803149606299213" bottom="0.74803149606299213" header="0.31496062992125984" footer="0.31496062992125984"/>
  <pageSetup paperSize="9" scale="74" orientation="landscape" r:id="rId1"/>
  <rowBreaks count="1" manualBreakCount="1">
    <brk id="19" max="2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65"/>
  <sheetViews>
    <sheetView view="pageBreakPreview" zoomScaleNormal="90" zoomScaleSheetLayoutView="100" workbookViewId="0">
      <pane xSplit="1" ySplit="4" topLeftCell="B5" activePane="bottomRight" state="frozen"/>
      <selection activeCell="A27" sqref="A27:AA27"/>
      <selection pane="topRight" activeCell="A27" sqref="A27:AA27"/>
      <selection pane="bottomLeft" activeCell="A27" sqref="A27:AA27"/>
      <selection pane="bottomRight" activeCell="I39" sqref="I39:I43"/>
    </sheetView>
  </sheetViews>
  <sheetFormatPr defaultColWidth="8.85546875" defaultRowHeight="15" x14ac:dyDescent="0.25"/>
  <cols>
    <col min="1" max="1" width="9.28515625" bestFit="1" customWidth="1"/>
    <col min="2" max="2" width="33.28515625" customWidth="1"/>
    <col min="3" max="3" width="16.85546875" style="7" customWidth="1"/>
    <col min="4" max="4" width="15.7109375" style="7" customWidth="1"/>
    <col min="5" max="5" width="19.42578125" style="7" customWidth="1"/>
    <col min="6" max="6" width="18.5703125" style="8" customWidth="1"/>
    <col min="7" max="7" width="9.140625" style="8" customWidth="1"/>
    <col min="8" max="9" width="15.5703125" style="10" customWidth="1"/>
    <col min="10" max="10" width="8.140625" style="8" customWidth="1"/>
    <col min="11" max="11" width="15.42578125" style="23" bestFit="1" customWidth="1"/>
    <col min="12" max="12" width="17.7109375" style="23" bestFit="1" customWidth="1"/>
    <col min="13" max="13" width="13.28515625" style="23" bestFit="1" customWidth="1"/>
    <col min="14" max="16384" width="8.85546875" style="23"/>
  </cols>
  <sheetData>
    <row r="1" spans="1:10" x14ac:dyDescent="0.25">
      <c r="A1" s="796" t="s">
        <v>706</v>
      </c>
      <c r="B1" s="796"/>
      <c r="C1" s="796"/>
      <c r="D1" s="796"/>
      <c r="E1" s="796"/>
      <c r="F1" s="796"/>
      <c r="G1" s="796"/>
      <c r="H1" s="796"/>
      <c r="I1" s="796"/>
      <c r="J1" s="796"/>
    </row>
    <row r="2" spans="1:10" ht="30" customHeight="1" x14ac:dyDescent="0.25">
      <c r="A2" s="818" t="s">
        <v>115</v>
      </c>
      <c r="B2" s="818" t="s">
        <v>0</v>
      </c>
      <c r="C2" s="867" t="s">
        <v>697</v>
      </c>
      <c r="D2" s="867"/>
      <c r="E2" s="167" t="s">
        <v>510</v>
      </c>
      <c r="F2" s="818" t="s">
        <v>284</v>
      </c>
      <c r="G2" s="818"/>
      <c r="H2" s="867" t="s">
        <v>707</v>
      </c>
      <c r="I2" s="785"/>
      <c r="J2" s="867"/>
    </row>
    <row r="3" spans="1:10" ht="33.75" x14ac:dyDescent="0.25">
      <c r="A3" s="818"/>
      <c r="B3" s="818"/>
      <c r="C3" s="167" t="s">
        <v>514</v>
      </c>
      <c r="D3" s="167" t="s">
        <v>513</v>
      </c>
      <c r="E3" s="167" t="s">
        <v>514</v>
      </c>
      <c r="F3" s="167" t="s">
        <v>514</v>
      </c>
      <c r="G3" s="204" t="s">
        <v>509</v>
      </c>
      <c r="H3" s="167" t="s">
        <v>514</v>
      </c>
      <c r="I3" s="600" t="s">
        <v>739</v>
      </c>
      <c r="J3" s="204" t="s">
        <v>419</v>
      </c>
    </row>
    <row r="4" spans="1:10" x14ac:dyDescent="0.25">
      <c r="A4" s="818"/>
      <c r="B4" s="818"/>
      <c r="C4" s="167" t="s">
        <v>305</v>
      </c>
      <c r="D4" s="167" t="s">
        <v>306</v>
      </c>
      <c r="E4" s="167" t="s">
        <v>307</v>
      </c>
      <c r="F4" s="204" t="s">
        <v>308</v>
      </c>
      <c r="G4" s="204" t="s">
        <v>519</v>
      </c>
      <c r="H4" s="121" t="s">
        <v>517</v>
      </c>
      <c r="I4" s="601" t="s">
        <v>642</v>
      </c>
      <c r="J4" s="204" t="s">
        <v>740</v>
      </c>
    </row>
    <row r="5" spans="1:10" ht="22.5" x14ac:dyDescent="0.25">
      <c r="A5" s="95" t="s">
        <v>130</v>
      </c>
      <c r="B5" s="64" t="s">
        <v>3</v>
      </c>
      <c r="C5" s="616">
        <v>1739927.662</v>
      </c>
      <c r="D5" s="616">
        <v>1305600</v>
      </c>
      <c r="E5" s="404">
        <v>2720000</v>
      </c>
      <c r="F5" s="362">
        <f>'Avanzamento_ SP_totale'!L6</f>
        <v>2397371.37</v>
      </c>
      <c r="G5" s="65">
        <f>F5/C5</f>
        <v>1.3778569203528188</v>
      </c>
      <c r="H5" s="362">
        <f>'Avanzamento_ SP_totale'!O6</f>
        <v>619844.99</v>
      </c>
      <c r="I5" s="575">
        <v>297525.58</v>
      </c>
      <c r="J5" s="65">
        <f>H5/C5</f>
        <v>0.35624756335415969</v>
      </c>
    </row>
    <row r="6" spans="1:10" ht="22.5" x14ac:dyDescent="0.25">
      <c r="A6" s="95" t="s">
        <v>131</v>
      </c>
      <c r="B6" s="64" t="s">
        <v>5</v>
      </c>
      <c r="C6" s="616">
        <v>2831480.9000000004</v>
      </c>
      <c r="D6" s="616">
        <v>1680000</v>
      </c>
      <c r="E6" s="404">
        <v>3500000</v>
      </c>
      <c r="F6" s="362">
        <f>'Avanzamento_ SP_totale'!L7</f>
        <v>2783713.41</v>
      </c>
      <c r="G6" s="65">
        <f>F6/C6</f>
        <v>0.98312985618232485</v>
      </c>
      <c r="H6" s="362">
        <f>'Avanzamento_ SP_totale'!O7</f>
        <v>902156.6</v>
      </c>
      <c r="I6" s="575">
        <v>464525.69</v>
      </c>
      <c r="J6" s="65">
        <f t="shared" ref="J6:J42" si="0">H6/C6</f>
        <v>0.31861652324760514</v>
      </c>
    </row>
    <row r="7" spans="1:10" ht="22.5" x14ac:dyDescent="0.25">
      <c r="A7" s="95" t="s">
        <v>132</v>
      </c>
      <c r="B7" s="64" t="s">
        <v>7</v>
      </c>
      <c r="C7" s="616">
        <v>1299579.1285714286</v>
      </c>
      <c r="D7" s="616">
        <v>652800</v>
      </c>
      <c r="E7" s="408">
        <v>1360000</v>
      </c>
      <c r="F7" s="362">
        <f>'Avanzamento_ SP_totale'!L8</f>
        <v>1797663.3499999999</v>
      </c>
      <c r="G7" s="65">
        <f>F7/C7</f>
        <v>1.3832657900378054</v>
      </c>
      <c r="H7" s="362">
        <f>'Avanzamento_ SP_totale'!O8</f>
        <v>1159480.07</v>
      </c>
      <c r="I7" s="575">
        <v>564537.57279999962</v>
      </c>
      <c r="J7" s="65">
        <f t="shared" si="0"/>
        <v>0.89219659234952986</v>
      </c>
    </row>
    <row r="8" spans="1:10" ht="33.75" x14ac:dyDescent="0.25">
      <c r="A8" s="95" t="s">
        <v>133</v>
      </c>
      <c r="B8" s="64" t="s">
        <v>8</v>
      </c>
      <c r="C8" s="616">
        <v>1383579.719047619</v>
      </c>
      <c r="D8" s="616">
        <v>736800</v>
      </c>
      <c r="E8" s="404">
        <v>2111592.6</v>
      </c>
      <c r="F8" s="362">
        <f>'Avanzamento_ SP_totale'!L9</f>
        <v>1677660.08</v>
      </c>
      <c r="G8" s="65">
        <f>F8/C8</f>
        <v>1.2125503553599426</v>
      </c>
      <c r="H8" s="362">
        <f>'Avanzamento_ SP_totale'!O9</f>
        <v>955176.91999999993</v>
      </c>
      <c r="I8" s="575">
        <v>466906.24119999999</v>
      </c>
      <c r="J8" s="65">
        <f t="shared" si="0"/>
        <v>0.69036637849642069</v>
      </c>
    </row>
    <row r="9" spans="1:10" ht="22.5" x14ac:dyDescent="0.25">
      <c r="A9" s="95" t="s">
        <v>134</v>
      </c>
      <c r="B9" s="64" t="s">
        <v>10</v>
      </c>
      <c r="C9" s="616">
        <v>191834487.60678571</v>
      </c>
      <c r="D9" s="616">
        <v>95711287.022399992</v>
      </c>
      <c r="E9" s="404">
        <v>220029730.89000008</v>
      </c>
      <c r="F9" s="408">
        <f>'Avanzamento_ SP_totale'!L10-'AVANZAMENTO EURI'!E5-'AVANZAMENTO TOP UP'!E5</f>
        <v>228305980.11000004</v>
      </c>
      <c r="G9" s="65">
        <f t="shared" ref="G9:G28" si="1">F9/C9</f>
        <v>1.1901195815111831</v>
      </c>
      <c r="H9" s="362">
        <f>'Avanzamento_ SP_totale'!O10-'AVANZAMENTO EURI'!G5-'AVANZAMENTO TOP UP'!G5</f>
        <v>174048567.24999985</v>
      </c>
      <c r="I9" s="575">
        <v>84450293.435600236</v>
      </c>
      <c r="J9" s="65">
        <f t="shared" si="0"/>
        <v>0.90728507382237389</v>
      </c>
    </row>
    <row r="10" spans="1:10" ht="33.75" x14ac:dyDescent="0.25">
      <c r="A10" s="95" t="s">
        <v>135</v>
      </c>
      <c r="B10" s="64" t="s">
        <v>11</v>
      </c>
      <c r="C10" s="616">
        <v>42472910.20000001</v>
      </c>
      <c r="D10" s="616">
        <v>20952000</v>
      </c>
      <c r="E10" s="405">
        <v>51387578.509999998</v>
      </c>
      <c r="F10" s="408">
        <f>'Avanzamento_ SP_totale'!L11</f>
        <v>54098529.479999997</v>
      </c>
      <c r="G10" s="65">
        <f t="shared" si="1"/>
        <v>1.2737184531329804</v>
      </c>
      <c r="H10" s="362">
        <f>'Avanzamento_ SP_totale'!O11</f>
        <v>39406440.25</v>
      </c>
      <c r="I10" s="575">
        <v>19020123.922799993</v>
      </c>
      <c r="J10" s="65">
        <f t="shared" si="0"/>
        <v>0.92780174620574951</v>
      </c>
    </row>
    <row r="11" spans="1:10" ht="33.75" x14ac:dyDescent="0.25">
      <c r="A11" s="821" t="s">
        <v>136</v>
      </c>
      <c r="B11" s="64" t="s">
        <v>12</v>
      </c>
      <c r="C11" s="616">
        <v>36550598.583333336</v>
      </c>
      <c r="D11" s="616">
        <v>19680000</v>
      </c>
      <c r="E11" s="404">
        <v>49026021.320000023</v>
      </c>
      <c r="F11" s="408">
        <f>'Avanzamento_ SP_totale'!L12</f>
        <v>49540992.230000027</v>
      </c>
      <c r="G11" s="65">
        <f t="shared" si="1"/>
        <v>1.3554085062943446</v>
      </c>
      <c r="H11" s="362">
        <f>'Avanzamento_ SP_totale'!O12</f>
        <v>26756742.860000014</v>
      </c>
      <c r="I11" s="575">
        <v>13509870.852400014</v>
      </c>
      <c r="J11" s="65">
        <f t="shared" si="0"/>
        <v>0.7320466393729812</v>
      </c>
    </row>
    <row r="12" spans="1:10" ht="22.5" x14ac:dyDescent="0.25">
      <c r="A12" s="821"/>
      <c r="B12" s="64" t="s">
        <v>13</v>
      </c>
      <c r="C12" s="616">
        <v>12136090.719047619</v>
      </c>
      <c r="D12" s="616">
        <v>7200000</v>
      </c>
      <c r="E12" s="408">
        <v>15000000</v>
      </c>
      <c r="F12" s="408">
        <f>'Avanzamento_ SP_totale'!L13</f>
        <v>8655082.3900000006</v>
      </c>
      <c r="G12" s="65">
        <f t="shared" si="1"/>
        <v>0.71316889353964952</v>
      </c>
      <c r="H12" s="362">
        <f>'Avanzamento_ SP_totale'!O13</f>
        <v>3797699.45</v>
      </c>
      <c r="I12" s="575">
        <v>1946813.51</v>
      </c>
      <c r="J12" s="65">
        <f t="shared" si="0"/>
        <v>0.31292609275238059</v>
      </c>
    </row>
    <row r="13" spans="1:10" x14ac:dyDescent="0.25">
      <c r="A13" s="95" t="s">
        <v>137</v>
      </c>
      <c r="B13" s="64" t="s">
        <v>15</v>
      </c>
      <c r="C13" s="617">
        <v>2622923.6976190475</v>
      </c>
      <c r="D13" s="618">
        <v>1440000</v>
      </c>
      <c r="E13" s="408">
        <v>3000000</v>
      </c>
      <c r="F13" s="408">
        <f>'Avanzamento_ SP_totale'!L14</f>
        <v>1964949.83</v>
      </c>
      <c r="G13" s="65">
        <f t="shared" si="1"/>
        <v>0.74914486905725797</v>
      </c>
      <c r="H13" s="362">
        <f>'Avanzamento_ SP_totale'!O14</f>
        <v>1416279.5299999998</v>
      </c>
      <c r="I13" s="575">
        <v>679814.18200000003</v>
      </c>
      <c r="J13" s="65">
        <f t="shared" si="0"/>
        <v>0.53996215417384197</v>
      </c>
    </row>
    <row r="14" spans="1:10" x14ac:dyDescent="0.25">
      <c r="A14" s="95" t="s">
        <v>138</v>
      </c>
      <c r="B14" s="64" t="s">
        <v>16</v>
      </c>
      <c r="C14" s="619">
        <v>14247831.611904765</v>
      </c>
      <c r="D14" s="619">
        <v>7141482.7199999997</v>
      </c>
      <c r="E14" s="409">
        <v>14633071.850000007</v>
      </c>
      <c r="F14" s="408">
        <f>'Avanzamento_ SP_totale'!L15</f>
        <v>16087747.910000011</v>
      </c>
      <c r="G14" s="65">
        <f t="shared" si="1"/>
        <v>1.1291365836018097</v>
      </c>
      <c r="H14" s="362">
        <f>'Avanzamento_ SP_totale'!O15</f>
        <v>12572371.64000001</v>
      </c>
      <c r="I14" s="575">
        <v>6085942.9404000016</v>
      </c>
      <c r="J14" s="65">
        <f t="shared" si="0"/>
        <v>0.88240596762072721</v>
      </c>
    </row>
    <row r="15" spans="1:10" ht="22.5" x14ac:dyDescent="0.25">
      <c r="A15" s="95" t="s">
        <v>139</v>
      </c>
      <c r="B15" s="64" t="s">
        <v>18</v>
      </c>
      <c r="C15" s="617">
        <v>62271428.571428575</v>
      </c>
      <c r="D15" s="617">
        <v>29664000</v>
      </c>
      <c r="E15" s="408">
        <v>75115000</v>
      </c>
      <c r="F15" s="408">
        <f>'Avanzamento_ SP_totale'!L16-'AVANZAMENTO EURI'!E6-'AVANZAMENTO TOP UP'!E8</f>
        <v>75585000</v>
      </c>
      <c r="G15" s="65">
        <f t="shared" si="1"/>
        <v>1.2137990364762559</v>
      </c>
      <c r="H15" s="362">
        <f>'Avanzamento_ SP_totale'!O16-'AVANZAMENTO EURI'!G6-'AVANZAMENTO TOP UP'!G8</f>
        <v>65544000.000000007</v>
      </c>
      <c r="I15" s="575">
        <v>30628680</v>
      </c>
      <c r="J15" s="65">
        <f>H15/C15</f>
        <v>1.0525533379215417</v>
      </c>
    </row>
    <row r="16" spans="1:10" ht="33.75" x14ac:dyDescent="0.25">
      <c r="A16" s="95" t="s">
        <v>140</v>
      </c>
      <c r="B16" s="64" t="s">
        <v>19</v>
      </c>
      <c r="C16" s="617">
        <v>6092857.1428571427</v>
      </c>
      <c r="D16" s="617">
        <v>3120000</v>
      </c>
      <c r="E16" s="408">
        <v>6500000</v>
      </c>
      <c r="F16" s="408">
        <f>'Avanzamento_ SP_totale'!L17</f>
        <v>6350000</v>
      </c>
      <c r="G16" s="65">
        <f t="shared" si="1"/>
        <v>1.0422039859320047</v>
      </c>
      <c r="H16" s="362">
        <f>'Avanzamento_ SP_totale'!O17</f>
        <v>5075000</v>
      </c>
      <c r="I16" s="575">
        <v>2478750</v>
      </c>
      <c r="J16" s="65">
        <f t="shared" si="0"/>
        <v>0.83294255568581477</v>
      </c>
    </row>
    <row r="17" spans="1:12" ht="33.75" x14ac:dyDescent="0.25">
      <c r="A17" s="821" t="s">
        <v>141</v>
      </c>
      <c r="B17" s="64" t="s">
        <v>20</v>
      </c>
      <c r="C17" s="617">
        <v>6662484.3214285718</v>
      </c>
      <c r="D17" s="617">
        <v>3360000</v>
      </c>
      <c r="E17" s="408">
        <v>7028344.959999999</v>
      </c>
      <c r="F17" s="408">
        <f>'Avanzamento_ SP_totale'!L18</f>
        <v>6995398.1600000001</v>
      </c>
      <c r="G17" s="65">
        <f t="shared" si="1"/>
        <v>1.0499684235654674</v>
      </c>
      <c r="H17" s="362">
        <f>'Avanzamento_ SP_totale'!O18</f>
        <v>5647973.9399999995</v>
      </c>
      <c r="I17" s="575">
        <v>2720407.9648000002</v>
      </c>
      <c r="J17" s="65">
        <f t="shared" si="0"/>
        <v>0.84772791462103725</v>
      </c>
    </row>
    <row r="18" spans="1:12" ht="22.5" x14ac:dyDescent="0.25">
      <c r="A18" s="821"/>
      <c r="B18" s="64" t="s">
        <v>21</v>
      </c>
      <c r="C18" s="617">
        <v>5596076.6470238091</v>
      </c>
      <c r="D18" s="617">
        <v>2880000</v>
      </c>
      <c r="E18" s="408">
        <v>6000000</v>
      </c>
      <c r="F18" s="408">
        <f>'Avanzamento_ SP_totale'!L19</f>
        <v>5961663.3899999997</v>
      </c>
      <c r="G18" s="65">
        <f t="shared" si="1"/>
        <v>1.0653291164570846</v>
      </c>
      <c r="H18" s="362">
        <f>'Avanzamento_ SP_totale'!O19</f>
        <v>4418800.96</v>
      </c>
      <c r="I18" s="575">
        <v>2138316.3463999992</v>
      </c>
      <c r="J18" s="65">
        <f t="shared" si="0"/>
        <v>0.78962481015160402</v>
      </c>
    </row>
    <row r="19" spans="1:12" ht="45" x14ac:dyDescent="0.25">
      <c r="A19" s="95" t="s">
        <v>142</v>
      </c>
      <c r="B19" s="66" t="s">
        <v>23</v>
      </c>
      <c r="C19" s="617">
        <v>136596.82285714286</v>
      </c>
      <c r="D19" s="617">
        <v>86055.998399999997</v>
      </c>
      <c r="E19" s="408">
        <v>179283</v>
      </c>
      <c r="F19" s="408">
        <f>'Avanzamento_ SP_totale'!L20</f>
        <v>179282.68</v>
      </c>
      <c r="G19" s="65">
        <f t="shared" si="1"/>
        <v>1.3124952414705817</v>
      </c>
      <c r="H19" s="362">
        <f>'Avanzamento_ SP_totale'!O20</f>
        <v>0</v>
      </c>
      <c r="I19" s="575">
        <f>'Avanzamento_ SP_totale'!R20</f>
        <v>0</v>
      </c>
      <c r="J19" s="65">
        <f t="shared" si="0"/>
        <v>0</v>
      </c>
    </row>
    <row r="20" spans="1:12" ht="33.75" x14ac:dyDescent="0.25">
      <c r="A20" s="95" t="s">
        <v>143</v>
      </c>
      <c r="B20" s="66" t="s">
        <v>24</v>
      </c>
      <c r="C20" s="616">
        <v>857142.85714285716</v>
      </c>
      <c r="D20" s="616">
        <v>540000</v>
      </c>
      <c r="E20" s="405">
        <v>1756456.9500000002</v>
      </c>
      <c r="F20" s="408">
        <f>'Avanzamento_ SP_totale'!L21</f>
        <v>2416912.62</v>
      </c>
      <c r="G20" s="65">
        <f t="shared" si="1"/>
        <v>2.8197313900000003</v>
      </c>
      <c r="H20" s="362">
        <f>'Avanzamento_ SP_totale'!O21</f>
        <v>85835.44</v>
      </c>
      <c r="I20" s="575">
        <v>54076.33</v>
      </c>
      <c r="J20" s="65">
        <f t="shared" si="0"/>
        <v>0.10014134666666667</v>
      </c>
    </row>
    <row r="21" spans="1:12" x14ac:dyDescent="0.25">
      <c r="A21" s="95" t="s">
        <v>144</v>
      </c>
      <c r="B21" s="64" t="s">
        <v>25</v>
      </c>
      <c r="C21" s="617">
        <v>40245810.669047616</v>
      </c>
      <c r="D21" s="617">
        <v>20362937.279999997</v>
      </c>
      <c r="E21" s="408">
        <v>46768875</v>
      </c>
      <c r="F21" s="408">
        <f>'Avanzamento_ SP_totale'!L22</f>
        <v>41388859.109999999</v>
      </c>
      <c r="G21" s="65">
        <f t="shared" si="1"/>
        <v>1.0284016751545144</v>
      </c>
      <c r="H21" s="362">
        <f>'Avanzamento_ SP_totale'!O22</f>
        <v>33279489.609999999</v>
      </c>
      <c r="I21" s="575">
        <v>15974155.009999998</v>
      </c>
      <c r="J21" s="65">
        <f t="shared" si="0"/>
        <v>0.82690568426280209</v>
      </c>
    </row>
    <row r="22" spans="1:12" ht="22.5" x14ac:dyDescent="0.25">
      <c r="A22" s="95" t="s">
        <v>145</v>
      </c>
      <c r="B22" s="66" t="s">
        <v>26</v>
      </c>
      <c r="C22" s="617">
        <v>3134302.0204761904</v>
      </c>
      <c r="D22" s="617">
        <v>1504464.9983999999</v>
      </c>
      <c r="E22" s="410">
        <v>3134301.83</v>
      </c>
      <c r="F22" s="408">
        <f>'Avanzamento_ SP_totale'!L23</f>
        <v>3134301.83</v>
      </c>
      <c r="G22" s="65">
        <f t="shared" si="1"/>
        <v>0.99999993922851438</v>
      </c>
      <c r="H22" s="362">
        <f>'Avanzamento_ SP_totale'!O23</f>
        <v>3134301.83</v>
      </c>
      <c r="I22" s="575">
        <v>1504464.88</v>
      </c>
      <c r="J22" s="65">
        <f t="shared" si="0"/>
        <v>0.99999993922851438</v>
      </c>
    </row>
    <row r="23" spans="1:12" ht="22.5" x14ac:dyDescent="0.25">
      <c r="A23" s="95" t="s">
        <v>146</v>
      </c>
      <c r="B23" s="66" t="s">
        <v>27</v>
      </c>
      <c r="C23" s="617">
        <v>2141105.8238095241</v>
      </c>
      <c r="D23" s="617">
        <v>1041600</v>
      </c>
      <c r="E23" s="408">
        <v>2888578.53</v>
      </c>
      <c r="F23" s="408">
        <f>'Avanzamento_ SP_totale'!L24</f>
        <v>2833487.4</v>
      </c>
      <c r="G23" s="65">
        <f t="shared" si="1"/>
        <v>1.3233756914259232</v>
      </c>
      <c r="H23" s="362">
        <f>'Avanzamento_ SP_totale'!O24</f>
        <v>2167468.41</v>
      </c>
      <c r="I23" s="575">
        <v>983349.34</v>
      </c>
      <c r="J23" s="65">
        <f t="shared" si="0"/>
        <v>1.0123126030938401</v>
      </c>
    </row>
    <row r="24" spans="1:12" ht="33.75" x14ac:dyDescent="0.25">
      <c r="A24" s="95" t="s">
        <v>147</v>
      </c>
      <c r="B24" s="66" t="s">
        <v>28</v>
      </c>
      <c r="C24" s="617">
        <v>761904.76190476189</v>
      </c>
      <c r="D24" s="617">
        <v>480000</v>
      </c>
      <c r="E24" s="408">
        <v>1108557.9300000002</v>
      </c>
      <c r="F24" s="408">
        <f>'Avanzamento_ SP_totale'!L25</f>
        <v>1108557.9300000002</v>
      </c>
      <c r="G24" s="65">
        <f t="shared" si="1"/>
        <v>1.4549822831250003</v>
      </c>
      <c r="H24" s="362">
        <f>'Avanzamento_ SP_totale'!O25</f>
        <v>130927.22</v>
      </c>
      <c r="I24" s="575">
        <v>82484.149999999994</v>
      </c>
      <c r="J24" s="65">
        <f t="shared" si="0"/>
        <v>0.17184197625</v>
      </c>
    </row>
    <row r="25" spans="1:12" customFormat="1" ht="33.75" x14ac:dyDescent="0.25">
      <c r="A25" s="115" t="s">
        <v>116</v>
      </c>
      <c r="B25" s="116" t="s">
        <v>30</v>
      </c>
      <c r="C25" s="619">
        <v>15967539.303690473</v>
      </c>
      <c r="D25" s="619">
        <v>7920000</v>
      </c>
      <c r="E25" s="557">
        <v>15967539.303690473</v>
      </c>
      <c r="F25" s="557">
        <v>15967539.303690473</v>
      </c>
      <c r="G25" s="65">
        <f>F25/C25</f>
        <v>1</v>
      </c>
      <c r="H25" s="576">
        <v>14336287.4241667</v>
      </c>
      <c r="I25" s="639">
        <v>6892311.3099999996</v>
      </c>
      <c r="J25" s="65">
        <f t="shared" si="0"/>
        <v>0.89783949495920434</v>
      </c>
    </row>
    <row r="26" spans="1:12" ht="33.75" x14ac:dyDescent="0.25">
      <c r="A26" s="95" t="s">
        <v>148</v>
      </c>
      <c r="B26" s="66" t="s">
        <v>31</v>
      </c>
      <c r="C26" s="617">
        <v>7272786.6357142869</v>
      </c>
      <c r="D26" s="617">
        <v>3840000</v>
      </c>
      <c r="E26" s="408">
        <v>10038329.119999999</v>
      </c>
      <c r="F26" s="408">
        <f>'Avanzamento_ SP_totale'!L27</f>
        <v>10252258.540000001</v>
      </c>
      <c r="G26" s="65">
        <f>F26/C26</f>
        <v>1.4096740429114885</v>
      </c>
      <c r="H26" s="362">
        <f>'Avanzamento_ SP_totale'!O27</f>
        <v>5720116.3500000015</v>
      </c>
      <c r="I26" s="575">
        <v>2861817.7299999995</v>
      </c>
      <c r="J26" s="65">
        <f t="shared" si="0"/>
        <v>0.78650957831079116</v>
      </c>
    </row>
    <row r="27" spans="1:12" ht="33.75" x14ac:dyDescent="0.25">
      <c r="A27" s="95" t="s">
        <v>149</v>
      </c>
      <c r="B27" s="66" t="s">
        <v>32</v>
      </c>
      <c r="C27" s="617">
        <v>4784047.2833333332</v>
      </c>
      <c r="D27" s="617">
        <v>2256000</v>
      </c>
      <c r="E27" s="408">
        <v>5808858.8900000006</v>
      </c>
      <c r="F27" s="408">
        <f>'Avanzamento_ SP_totale'!L28</f>
        <v>5771092.4400000004</v>
      </c>
      <c r="G27" s="65">
        <f t="shared" si="1"/>
        <v>1.2063201089390014</v>
      </c>
      <c r="H27" s="362">
        <f>'Avanzamento_ SP_totale'!O28</f>
        <v>5084458.2799999993</v>
      </c>
      <c r="I27" s="575">
        <v>2445258.89</v>
      </c>
      <c r="J27" s="65">
        <f t="shared" si="0"/>
        <v>1.0627943201383561</v>
      </c>
    </row>
    <row r="28" spans="1:12" ht="22.5" x14ac:dyDescent="0.25">
      <c r="A28" s="115" t="s">
        <v>150</v>
      </c>
      <c r="B28" s="116" t="s">
        <v>34</v>
      </c>
      <c r="C28" s="616">
        <v>305000</v>
      </c>
      <c r="D28" s="616">
        <v>146400</v>
      </c>
      <c r="E28" s="405">
        <v>305000</v>
      </c>
      <c r="F28" s="408">
        <f>'Avanzamento_ SP_totale'!L29</f>
        <v>305000</v>
      </c>
      <c r="G28" s="65">
        <f t="shared" si="1"/>
        <v>1</v>
      </c>
      <c r="H28" s="362">
        <f>'Avanzamento_ SP_totale'!O29</f>
        <v>305000</v>
      </c>
      <c r="I28" s="575">
        <v>146400</v>
      </c>
      <c r="J28" s="65">
        <f t="shared" si="0"/>
        <v>1</v>
      </c>
    </row>
    <row r="29" spans="1:12" customFormat="1" ht="13.15" customHeight="1" x14ac:dyDescent="0.25">
      <c r="A29" s="800" t="s">
        <v>117</v>
      </c>
      <c r="B29" s="116" t="s">
        <v>36</v>
      </c>
      <c r="C29" s="803">
        <v>210033479.99380001</v>
      </c>
      <c r="D29" s="803">
        <v>100914292.09</v>
      </c>
      <c r="E29" s="868">
        <v>211825081.68077591</v>
      </c>
      <c r="F29" s="868">
        <v>211825081.68077591</v>
      </c>
      <c r="G29" s="871">
        <f>F29/C29</f>
        <v>1.0085300766669618</v>
      </c>
      <c r="H29" s="877">
        <v>209719471.03755945</v>
      </c>
      <c r="I29" s="874">
        <v>100678784.9084</v>
      </c>
      <c r="J29" s="832">
        <f>H29/C29</f>
        <v>0.99850495760842584</v>
      </c>
    </row>
    <row r="30" spans="1:12" customFormat="1" x14ac:dyDescent="0.25">
      <c r="A30" s="801"/>
      <c r="B30" s="116" t="s">
        <v>37</v>
      </c>
      <c r="C30" s="804"/>
      <c r="D30" s="804"/>
      <c r="E30" s="869"/>
      <c r="F30" s="869"/>
      <c r="G30" s="872" t="e">
        <v>#DIV/0!</v>
      </c>
      <c r="H30" s="878"/>
      <c r="I30" s="875"/>
      <c r="J30" s="832" t="e">
        <f t="shared" si="0"/>
        <v>#DIV/0!</v>
      </c>
    </row>
    <row r="31" spans="1:12" customFormat="1" ht="22.5" x14ac:dyDescent="0.25">
      <c r="A31" s="801"/>
      <c r="B31" s="116" t="s">
        <v>38</v>
      </c>
      <c r="C31" s="804"/>
      <c r="D31" s="804"/>
      <c r="E31" s="869"/>
      <c r="F31" s="869"/>
      <c r="G31" s="872" t="e">
        <v>#DIV/0!</v>
      </c>
      <c r="H31" s="878"/>
      <c r="I31" s="875"/>
      <c r="J31" s="832" t="e">
        <f t="shared" si="0"/>
        <v>#DIV/0!</v>
      </c>
      <c r="L31" s="192"/>
    </row>
    <row r="32" spans="1:12" customFormat="1" ht="33.75" x14ac:dyDescent="0.25">
      <c r="A32" s="801"/>
      <c r="B32" s="116" t="s">
        <v>41</v>
      </c>
      <c r="C32" s="804"/>
      <c r="D32" s="804"/>
      <c r="E32" s="869"/>
      <c r="F32" s="869"/>
      <c r="G32" s="872" t="e">
        <v>#DIV/0!</v>
      </c>
      <c r="H32" s="878"/>
      <c r="I32" s="875"/>
      <c r="J32" s="832" t="e">
        <f t="shared" si="0"/>
        <v>#DIV/0!</v>
      </c>
      <c r="L32" s="325"/>
    </row>
    <row r="33" spans="1:10" customFormat="1" ht="22.5" x14ac:dyDescent="0.25">
      <c r="A33" s="802"/>
      <c r="B33" s="116" t="s">
        <v>39</v>
      </c>
      <c r="C33" s="805"/>
      <c r="D33" s="805"/>
      <c r="E33" s="870"/>
      <c r="F33" s="870"/>
      <c r="G33" s="873" t="e">
        <v>#DIV/0!</v>
      </c>
      <c r="H33" s="879"/>
      <c r="I33" s="876"/>
      <c r="J33" s="832" t="e">
        <f t="shared" si="0"/>
        <v>#DIV/0!</v>
      </c>
    </row>
    <row r="34" spans="1:10" ht="33.75" x14ac:dyDescent="0.25">
      <c r="A34" s="95" t="s">
        <v>118</v>
      </c>
      <c r="B34" s="66" t="s">
        <v>42</v>
      </c>
      <c r="C34" s="619">
        <v>0</v>
      </c>
      <c r="D34" s="619"/>
      <c r="E34" s="362">
        <v>0</v>
      </c>
      <c r="F34" s="408">
        <f>'Avanzamento_ SP_totale'!L35</f>
        <v>0</v>
      </c>
      <c r="G34" s="408">
        <v>0</v>
      </c>
      <c r="H34" s="362">
        <f>'Avanzamento_ SP_totale'!O35</f>
        <v>0</v>
      </c>
      <c r="I34" s="575">
        <v>0</v>
      </c>
      <c r="J34" s="362">
        <v>0</v>
      </c>
    </row>
    <row r="35" spans="1:10" ht="22.5" x14ac:dyDescent="0.25">
      <c r="A35" s="115" t="s">
        <v>45</v>
      </c>
      <c r="B35" s="116" t="s">
        <v>43</v>
      </c>
      <c r="C35" s="803">
        <v>96138933.013333395</v>
      </c>
      <c r="D35" s="803">
        <v>46251759</v>
      </c>
      <c r="E35" s="819">
        <v>97047954.127999991</v>
      </c>
      <c r="F35" s="822">
        <v>97047954.127999991</v>
      </c>
      <c r="G35" s="793">
        <f>F35/(C35+C36)</f>
        <v>1.009455286075835</v>
      </c>
      <c r="H35" s="806">
        <v>95763564.626666695</v>
      </c>
      <c r="I35" s="874">
        <v>45970232.710000001</v>
      </c>
      <c r="J35" s="832">
        <f>H35/(C35+C36)</f>
        <v>0.9960955632135563</v>
      </c>
    </row>
    <row r="36" spans="1:10" ht="22.5" x14ac:dyDescent="0.25">
      <c r="A36" s="115" t="s">
        <v>119</v>
      </c>
      <c r="B36" s="116" t="s">
        <v>44</v>
      </c>
      <c r="C36" s="805"/>
      <c r="D36" s="805"/>
      <c r="E36" s="820"/>
      <c r="F36" s="823"/>
      <c r="G36" s="795">
        <v>0</v>
      </c>
      <c r="H36" s="807"/>
      <c r="I36" s="876"/>
      <c r="J36" s="832" t="e">
        <f t="shared" si="0"/>
        <v>#DIV/0!</v>
      </c>
    </row>
    <row r="37" spans="1:10" ht="22.5" x14ac:dyDescent="0.25">
      <c r="A37" s="115" t="s">
        <v>112</v>
      </c>
      <c r="B37" s="116" t="s">
        <v>120</v>
      </c>
      <c r="C37" s="830">
        <v>374681267.08583301</v>
      </c>
      <c r="D37" s="830">
        <v>187940623.21000001</v>
      </c>
      <c r="E37" s="806">
        <v>390974646.88800001</v>
      </c>
      <c r="F37" s="766">
        <v>381613768.56800002</v>
      </c>
      <c r="G37" s="793">
        <f>F37/C37</f>
        <v>1.0185023968133931</v>
      </c>
      <c r="H37" s="766">
        <v>347376858.20583302</v>
      </c>
      <c r="I37" s="874">
        <v>167462319.55000001</v>
      </c>
      <c r="J37" s="832">
        <f>H37/C37</f>
        <v>0.92712630366506943</v>
      </c>
    </row>
    <row r="38" spans="1:10" ht="22.5" x14ac:dyDescent="0.25">
      <c r="A38" s="115" t="s">
        <v>113</v>
      </c>
      <c r="B38" s="116" t="s">
        <v>121</v>
      </c>
      <c r="C38" s="831"/>
      <c r="D38" s="831"/>
      <c r="E38" s="807"/>
      <c r="F38" s="768"/>
      <c r="G38" s="795">
        <v>1</v>
      </c>
      <c r="H38" s="768"/>
      <c r="I38" s="876"/>
      <c r="J38" s="832" t="e">
        <f t="shared" si="0"/>
        <v>#DIV/0!</v>
      </c>
    </row>
    <row r="39" spans="1:10" ht="33.75" x14ac:dyDescent="0.25">
      <c r="A39" s="827" t="s">
        <v>122</v>
      </c>
      <c r="B39" s="116" t="s">
        <v>123</v>
      </c>
      <c r="C39" s="815">
        <v>340347549.31428599</v>
      </c>
      <c r="D39" s="837">
        <v>166202661</v>
      </c>
      <c r="E39" s="806">
        <v>345949988.77099943</v>
      </c>
      <c r="F39" s="766">
        <v>345949988.77099943</v>
      </c>
      <c r="G39" s="793">
        <f>F39/C39</f>
        <v>1.0164609366748811</v>
      </c>
      <c r="H39" s="766">
        <v>321448246.50666702</v>
      </c>
      <c r="I39" s="874">
        <v>154296100.22999999</v>
      </c>
      <c r="J39" s="832">
        <f t="shared" si="0"/>
        <v>0.94447057766187448</v>
      </c>
    </row>
    <row r="40" spans="1:10" ht="22.5" x14ac:dyDescent="0.25">
      <c r="A40" s="828"/>
      <c r="B40" s="116" t="s">
        <v>124</v>
      </c>
      <c r="C40" s="816"/>
      <c r="D40" s="838"/>
      <c r="E40" s="813"/>
      <c r="F40" s="767"/>
      <c r="G40" s="794" t="e">
        <v>#DIV/0!</v>
      </c>
      <c r="H40" s="767"/>
      <c r="I40" s="875"/>
      <c r="J40" s="832" t="e">
        <f t="shared" si="0"/>
        <v>#DIV/0!</v>
      </c>
    </row>
    <row r="41" spans="1:10" ht="25.15" customHeight="1" x14ac:dyDescent="0.25">
      <c r="A41" s="828"/>
      <c r="B41" s="116" t="s">
        <v>125</v>
      </c>
      <c r="C41" s="816"/>
      <c r="D41" s="838"/>
      <c r="E41" s="813"/>
      <c r="F41" s="767"/>
      <c r="G41" s="794" t="e">
        <v>#DIV/0!</v>
      </c>
      <c r="H41" s="767"/>
      <c r="I41" s="875"/>
      <c r="J41" s="832" t="e">
        <f t="shared" si="0"/>
        <v>#DIV/0!</v>
      </c>
    </row>
    <row r="42" spans="1:10" ht="25.9" customHeight="1" x14ac:dyDescent="0.25">
      <c r="A42" s="829"/>
      <c r="B42" s="116" t="s">
        <v>126</v>
      </c>
      <c r="C42" s="817"/>
      <c r="D42" s="839"/>
      <c r="E42" s="807"/>
      <c r="F42" s="768"/>
      <c r="G42" s="795" t="e">
        <v>#DIV/0!</v>
      </c>
      <c r="H42" s="768"/>
      <c r="I42" s="876"/>
      <c r="J42" s="832" t="e">
        <f t="shared" si="0"/>
        <v>#DIV/0!</v>
      </c>
    </row>
    <row r="43" spans="1:10" ht="22.5" x14ac:dyDescent="0.25">
      <c r="A43" s="115" t="s">
        <v>127</v>
      </c>
      <c r="B43" s="116" t="s">
        <v>52</v>
      </c>
      <c r="C43" s="616">
        <v>5382260.5866666697</v>
      </c>
      <c r="D43" s="616">
        <v>2788730</v>
      </c>
      <c r="E43" s="630">
        <v>5374580.8100000005</v>
      </c>
      <c r="F43" s="291">
        <v>5374580.8100000005</v>
      </c>
      <c r="G43" s="65">
        <f>F43/C43</f>
        <v>0.99857313176443108</v>
      </c>
      <c r="H43" s="577">
        <v>4634037.1066666702</v>
      </c>
      <c r="I43" s="755">
        <v>2227562.39</v>
      </c>
      <c r="J43" s="65">
        <f t="shared" ref="J43:J51" si="2">H43/C43</f>
        <v>0.8609834161776645</v>
      </c>
    </row>
    <row r="44" spans="1:10" ht="26.25" customHeight="1" x14ac:dyDescent="0.25">
      <c r="A44" s="94" t="s">
        <v>53</v>
      </c>
      <c r="B44" s="66" t="s">
        <v>54</v>
      </c>
      <c r="C44" s="616">
        <v>6284036.8866666667</v>
      </c>
      <c r="D44" s="616">
        <v>5270400</v>
      </c>
      <c r="E44" s="408">
        <v>10842809.42</v>
      </c>
      <c r="F44" s="408">
        <f>'Avanzamento_ SP_totale'!L45</f>
        <v>10557570.220000001</v>
      </c>
      <c r="G44" s="65">
        <f t="shared" ref="G44:G51" si="3">F44/C44</f>
        <v>1.6800617835965961</v>
      </c>
      <c r="H44" s="407">
        <f>'Avanzamento_ SP_totale'!O45</f>
        <v>1824245.83</v>
      </c>
      <c r="I44" s="575">
        <v>1256588.05</v>
      </c>
      <c r="J44" s="65">
        <f t="shared" si="2"/>
        <v>0.29029839622212361</v>
      </c>
    </row>
    <row r="45" spans="1:10" ht="31.5" customHeight="1" x14ac:dyDescent="0.25">
      <c r="A45" s="94" t="s">
        <v>55</v>
      </c>
      <c r="B45" s="66" t="s">
        <v>56</v>
      </c>
      <c r="C45" s="616">
        <v>5881571.5293333335</v>
      </c>
      <c r="D45" s="616">
        <v>3201600</v>
      </c>
      <c r="E45" s="405">
        <v>6670000</v>
      </c>
      <c r="F45" s="408">
        <f>'Avanzamento_ SP_totale'!L46</f>
        <v>6720386.1799999997</v>
      </c>
      <c r="G45" s="65">
        <f t="shared" si="3"/>
        <v>1.1426174359154218</v>
      </c>
      <c r="H45" s="407">
        <f>'Avanzamento_ SP_totale'!O46</f>
        <v>5309861.8200000012</v>
      </c>
      <c r="I45" s="575">
        <v>2687061.29</v>
      </c>
      <c r="J45" s="65">
        <f t="shared" si="2"/>
        <v>0.90279643689071398</v>
      </c>
    </row>
    <row r="46" spans="1:10" x14ac:dyDescent="0.25">
      <c r="A46" s="94" t="s">
        <v>151</v>
      </c>
      <c r="B46" s="66" t="s">
        <v>58</v>
      </c>
      <c r="C46" s="616">
        <v>1856652.3646666668</v>
      </c>
      <c r="D46" s="616">
        <v>1449600</v>
      </c>
      <c r="E46" s="408">
        <v>3020000</v>
      </c>
      <c r="F46" s="408">
        <f>'Avanzamento_ SP_totale'!L47</f>
        <v>2757876.76</v>
      </c>
      <c r="G46" s="65">
        <f t="shared" si="3"/>
        <v>1.4854028748107262</v>
      </c>
      <c r="H46" s="407">
        <f>'Avanzamento_ SP_totale'!O47</f>
        <v>769145.20000000007</v>
      </c>
      <c r="I46" s="575">
        <v>470843.55000000005</v>
      </c>
      <c r="J46" s="65">
        <f t="shared" si="2"/>
        <v>0.41426451964694433</v>
      </c>
    </row>
    <row r="47" spans="1:10" ht="22.5" x14ac:dyDescent="0.25">
      <c r="A47" s="94" t="s">
        <v>59</v>
      </c>
      <c r="B47" s="66" t="s">
        <v>60</v>
      </c>
      <c r="C47" s="616">
        <v>1002666.6666666666</v>
      </c>
      <c r="D47" s="616">
        <v>902400</v>
      </c>
      <c r="E47" s="408">
        <v>1880000</v>
      </c>
      <c r="F47" s="408">
        <f>'Avanzamento_ SP_totale'!L48</f>
        <v>568352.41</v>
      </c>
      <c r="G47" s="65">
        <f t="shared" si="3"/>
        <v>0.56684083444148936</v>
      </c>
      <c r="H47" s="407">
        <f>'Avanzamento_ SP_totale'!O48</f>
        <v>0</v>
      </c>
      <c r="I47" s="575">
        <f>'Avanzamento_ SP_totale'!R48</f>
        <v>0</v>
      </c>
      <c r="J47" s="65">
        <f t="shared" si="2"/>
        <v>0</v>
      </c>
    </row>
    <row r="48" spans="1:10" ht="22.5" x14ac:dyDescent="0.25">
      <c r="A48" s="94" t="s">
        <v>61</v>
      </c>
      <c r="B48" s="66" t="s">
        <v>62</v>
      </c>
      <c r="C48" s="616">
        <v>178467.19999999998</v>
      </c>
      <c r="D48" s="616">
        <v>160620.47999999998</v>
      </c>
      <c r="E48" s="405">
        <v>334626</v>
      </c>
      <c r="F48" s="408">
        <f>'Avanzamento_ SP_totale'!L49</f>
        <v>64253</v>
      </c>
      <c r="G48" s="65">
        <f t="shared" si="3"/>
        <v>0.36002694052464546</v>
      </c>
      <c r="H48" s="407">
        <f>'Avanzamento_ SP_totale'!O49</f>
        <v>0</v>
      </c>
      <c r="I48" s="575">
        <f>'Avanzamento_ SP_totale'!R49</f>
        <v>0</v>
      </c>
      <c r="J48" s="65">
        <f t="shared" si="2"/>
        <v>0</v>
      </c>
    </row>
    <row r="49" spans="1:10" x14ac:dyDescent="0.25">
      <c r="A49" s="94" t="s">
        <v>63</v>
      </c>
      <c r="B49" s="66" t="s">
        <v>64</v>
      </c>
      <c r="C49" s="616">
        <v>264570.21133333334</v>
      </c>
      <c r="D49" s="616">
        <v>199535.00159999999</v>
      </c>
      <c r="E49" s="405">
        <v>415698</v>
      </c>
      <c r="F49" s="408">
        <f>'Avanzamento_ SP_totale'!L50</f>
        <v>474084.33</v>
      </c>
      <c r="G49" s="65">
        <f t="shared" si="3"/>
        <v>1.7919036599426486</v>
      </c>
      <c r="H49" s="407">
        <f>'Avanzamento_ SP_totale'!O50</f>
        <v>91852.83</v>
      </c>
      <c r="I49" s="575">
        <v>44089.36</v>
      </c>
      <c r="J49" s="65">
        <f t="shared" si="2"/>
        <v>0.34717752061767138</v>
      </c>
    </row>
    <row r="50" spans="1:10" x14ac:dyDescent="0.25">
      <c r="A50" s="94" t="s">
        <v>65</v>
      </c>
      <c r="B50" s="66" t="s">
        <v>66</v>
      </c>
      <c r="C50" s="622">
        <v>679804.03999999992</v>
      </c>
      <c r="D50" s="622">
        <v>288000</v>
      </c>
      <c r="E50" s="408">
        <v>600000</v>
      </c>
      <c r="F50" s="408">
        <f>'Avanzamento_ SP_totale'!L51</f>
        <v>725817</v>
      </c>
      <c r="G50" s="65">
        <f t="shared" si="3"/>
        <v>1.0676856230510194</v>
      </c>
      <c r="H50" s="407">
        <f>'Avanzamento_ SP_totale'!O51</f>
        <v>679804.03999999992</v>
      </c>
      <c r="I50" s="575">
        <v>326305.95</v>
      </c>
      <c r="J50" s="65">
        <f t="shared" si="2"/>
        <v>1</v>
      </c>
    </row>
    <row r="51" spans="1:10" ht="21.6" customHeight="1" x14ac:dyDescent="0.25">
      <c r="A51" s="834" t="s">
        <v>67</v>
      </c>
      <c r="B51" s="66" t="s">
        <v>152</v>
      </c>
      <c r="C51" s="835">
        <v>55609719.952666663</v>
      </c>
      <c r="D51" s="815">
        <v>38442536.001599997</v>
      </c>
      <c r="E51" s="862">
        <v>77588615</v>
      </c>
      <c r="F51" s="862" cm="1">
        <f t="array" ref="F51:F52">'Avanzamento_ SP_totale'!L52:L53</f>
        <v>79976505.859999985</v>
      </c>
      <c r="G51" s="832">
        <f t="shared" si="3"/>
        <v>1.438174943662252</v>
      </c>
      <c r="H51" s="862" cm="1">
        <f t="array" ref="H51:H52">'Avanzamento_ SP_totale'!O52:O53</f>
        <v>30011573.82</v>
      </c>
      <c r="I51" s="864">
        <v>15404204.49</v>
      </c>
      <c r="J51" s="832">
        <f t="shared" si="2"/>
        <v>0.53968216070041275</v>
      </c>
    </row>
    <row r="52" spans="1:10" x14ac:dyDescent="0.25">
      <c r="A52" s="821"/>
      <c r="B52" s="66" t="s">
        <v>153</v>
      </c>
      <c r="C52" s="836"/>
      <c r="D52" s="817"/>
      <c r="E52" s="863"/>
      <c r="F52" s="863">
        <v>0</v>
      </c>
      <c r="G52" s="832"/>
      <c r="H52" s="863">
        <v>0</v>
      </c>
      <c r="I52" s="865"/>
      <c r="J52" s="832"/>
    </row>
    <row r="53" spans="1:10" ht="33.75" x14ac:dyDescent="0.25">
      <c r="A53" s="94" t="s">
        <v>416</v>
      </c>
      <c r="B53" s="66" t="s">
        <v>70</v>
      </c>
      <c r="C53" s="621">
        <v>1595307.32</v>
      </c>
      <c r="D53" s="621">
        <v>960000</v>
      </c>
      <c r="E53" s="408">
        <v>2500001</v>
      </c>
      <c r="F53" s="408">
        <f>'Avanzamento_ SP_totale'!L54</f>
        <v>2801059.6800000006</v>
      </c>
      <c r="G53" s="65">
        <f t="shared" ref="G53:G58" si="4">F53/C53</f>
        <v>1.7558119648068815</v>
      </c>
      <c r="H53" s="412">
        <f>'Avanzamento_ SP_totale'!O54</f>
        <v>1193563.3099999998</v>
      </c>
      <c r="I53" s="575">
        <v>598430.39</v>
      </c>
      <c r="J53" s="65">
        <f t="shared" ref="J53:J57" si="5">H53/C53</f>
        <v>0.74817139935144272</v>
      </c>
    </row>
    <row r="54" spans="1:10" ht="22.5" x14ac:dyDescent="0.25">
      <c r="A54" s="94" t="s">
        <v>417</v>
      </c>
      <c r="B54" s="66" t="s">
        <v>72</v>
      </c>
      <c r="C54" s="617">
        <v>10359586.495333333</v>
      </c>
      <c r="D54" s="617">
        <v>4800000</v>
      </c>
      <c r="E54" s="408">
        <v>12000000</v>
      </c>
      <c r="F54" s="408">
        <f>'Avanzamento_ SP_totale'!L55</f>
        <v>17111779.699999999</v>
      </c>
      <c r="G54" s="65">
        <f t="shared" si="4"/>
        <v>1.6517821157927797</v>
      </c>
      <c r="H54" s="412">
        <f>'Avanzamento_ SP_totale'!O55</f>
        <v>11173122.1</v>
      </c>
      <c r="I54" s="575">
        <v>5532182.0799999991</v>
      </c>
      <c r="J54" s="65">
        <f t="shared" si="5"/>
        <v>1.0785297371698319</v>
      </c>
    </row>
    <row r="55" spans="1:10" ht="22.5" x14ac:dyDescent="0.25">
      <c r="A55" s="67" t="s">
        <v>472</v>
      </c>
      <c r="B55" s="68" t="s">
        <v>154</v>
      </c>
      <c r="C55" s="617">
        <v>9506080.0222222228</v>
      </c>
      <c r="D55" s="617">
        <v>5748491</v>
      </c>
      <c r="E55" s="408">
        <v>11976022.92</v>
      </c>
      <c r="F55" s="408">
        <f>'Avanzamento_ SP_totale'!L56</f>
        <v>9908010.5899999999</v>
      </c>
      <c r="G55" s="65">
        <f t="shared" si="4"/>
        <v>1.0422814206106186</v>
      </c>
      <c r="H55" s="412">
        <f>'Avanzamento_ SP_totale'!O56</f>
        <v>1602262.76</v>
      </c>
      <c r="I55" s="575">
        <v>769086.13</v>
      </c>
      <c r="J55" s="65">
        <f t="shared" si="5"/>
        <v>0.1685513646271033</v>
      </c>
    </row>
    <row r="56" spans="1:10" ht="33.75" x14ac:dyDescent="0.25">
      <c r="A56" s="67" t="s">
        <v>315</v>
      </c>
      <c r="B56" s="68" t="s">
        <v>384</v>
      </c>
      <c r="C56" s="617">
        <v>1998000</v>
      </c>
      <c r="D56" s="617">
        <v>959040</v>
      </c>
      <c r="E56" s="408">
        <v>1998000</v>
      </c>
      <c r="F56" s="408">
        <f>'Avanzamento_ SP_totale'!L57-'AVANZAMENTO TOP UP'!E15</f>
        <v>1998000</v>
      </c>
      <c r="G56" s="65">
        <f t="shared" si="4"/>
        <v>1</v>
      </c>
      <c r="H56" s="412">
        <f>'Avanzamento_ SP_totale'!O57-'AVANZAMENTO TOP UP'!G15</f>
        <v>1997999.9900000002</v>
      </c>
      <c r="I56" s="575">
        <v>959040</v>
      </c>
      <c r="J56" s="65">
        <f t="shared" si="5"/>
        <v>0.99999999499499514</v>
      </c>
    </row>
    <row r="57" spans="1:10" x14ac:dyDescent="0.25">
      <c r="A57" s="833" t="s">
        <v>114</v>
      </c>
      <c r="B57" s="833"/>
      <c r="C57" s="617">
        <v>16200.169999999995</v>
      </c>
      <c r="D57" s="617">
        <v>7776.12</v>
      </c>
      <c r="E57" s="408">
        <f>'Avanzamento_ SP_totale'!K58</f>
        <v>16200.169999999995</v>
      </c>
      <c r="F57" s="408">
        <f>'Avanzamento_ SP_totale'!L58</f>
        <v>16200.169999999995</v>
      </c>
      <c r="G57" s="65">
        <f t="shared" si="4"/>
        <v>1</v>
      </c>
      <c r="H57" s="412">
        <f>'Avanzamento_ SP_totale'!O58</f>
        <v>16200.169999999995</v>
      </c>
      <c r="I57" s="575">
        <v>7776.1199999999972</v>
      </c>
      <c r="J57" s="65">
        <f t="shared" si="5"/>
        <v>1</v>
      </c>
    </row>
    <row r="58" spans="1:10" s="214" customFormat="1" ht="17.25" customHeight="1" x14ac:dyDescent="0.2">
      <c r="A58" s="155" t="s">
        <v>128</v>
      </c>
      <c r="B58" s="156"/>
      <c r="C58" s="238">
        <f>SUM(C5:C57)</f>
        <v>1585164645.5418322</v>
      </c>
      <c r="D58" s="238">
        <f>SUM(D5:D57)</f>
        <v>800189491.92240012</v>
      </c>
      <c r="E58" s="238">
        <f>SUM(E5:E57)</f>
        <v>1726381345.4714661</v>
      </c>
      <c r="F58" s="289">
        <f>SUM(F5:F57)</f>
        <v>1721050313.4214661</v>
      </c>
      <c r="G58" s="55">
        <f t="shared" si="4"/>
        <v>1.0857233778597088</v>
      </c>
      <c r="H58" s="289">
        <f>SUM(H5:H57)</f>
        <v>1440176228.3775589</v>
      </c>
      <c r="I58" s="289">
        <f>SUM(I5:I57)</f>
        <v>695087433.07680023</v>
      </c>
      <c r="J58" s="55">
        <f>H58/C58</f>
        <v>0.90853415916634062</v>
      </c>
    </row>
    <row r="59" spans="1:10" s="210" customFormat="1" ht="51" customHeight="1" x14ac:dyDescent="0.2">
      <c r="A59" s="797" t="s">
        <v>695</v>
      </c>
      <c r="B59" s="797"/>
      <c r="C59" s="797"/>
      <c r="D59" s="797"/>
      <c r="E59" s="797"/>
      <c r="F59" s="797"/>
      <c r="G59" s="797"/>
      <c r="H59" s="797"/>
      <c r="I59" s="797"/>
      <c r="J59" s="797"/>
    </row>
    <row r="60" spans="1:10" ht="43.9" customHeight="1" x14ac:dyDescent="0.25">
      <c r="A60" s="799" t="s">
        <v>730</v>
      </c>
      <c r="B60" s="799"/>
      <c r="C60" s="799"/>
      <c r="D60" s="799"/>
      <c r="E60" s="799"/>
      <c r="F60" s="799"/>
      <c r="G60" s="799"/>
      <c r="H60" s="799"/>
      <c r="I60" s="799"/>
      <c r="J60" s="799"/>
    </row>
    <row r="61" spans="1:10" ht="26.45" customHeight="1" x14ac:dyDescent="0.25">
      <c r="A61" s="826" t="s">
        <v>736</v>
      </c>
      <c r="B61" s="826"/>
      <c r="C61" s="826"/>
      <c r="D61" s="826"/>
      <c r="E61" s="826"/>
      <c r="F61" s="826"/>
      <c r="G61" s="826"/>
      <c r="H61" s="826"/>
      <c r="I61" s="826"/>
      <c r="J61" s="826"/>
    </row>
    <row r="62" spans="1:10" x14ac:dyDescent="0.25">
      <c r="D62" s="93"/>
      <c r="E62" s="93"/>
      <c r="F62" s="93"/>
    </row>
    <row r="63" spans="1:10" x14ac:dyDescent="0.25">
      <c r="D63" s="93"/>
      <c r="E63" s="93"/>
      <c r="F63" s="93"/>
    </row>
    <row r="64" spans="1:10" ht="28.5" customHeight="1" x14ac:dyDescent="0.25">
      <c r="A64" s="866"/>
      <c r="B64" s="866"/>
      <c r="C64" s="866"/>
      <c r="D64" s="866"/>
      <c r="E64" s="866"/>
      <c r="F64" s="866"/>
      <c r="G64" s="866"/>
      <c r="H64" s="866"/>
      <c r="I64" s="866"/>
      <c r="J64" s="866"/>
    </row>
    <row r="65" spans="1:10" ht="28.5" customHeight="1" x14ac:dyDescent="0.25">
      <c r="A65" s="866"/>
      <c r="B65" s="866"/>
      <c r="C65" s="866"/>
      <c r="D65" s="866"/>
      <c r="E65" s="866"/>
      <c r="F65" s="866"/>
      <c r="G65" s="866"/>
      <c r="H65" s="866"/>
      <c r="I65" s="866"/>
      <c r="J65" s="866"/>
    </row>
  </sheetData>
  <mergeCells count="57">
    <mergeCell ref="I29:I33"/>
    <mergeCell ref="I35:I36"/>
    <mergeCell ref="I37:I38"/>
    <mergeCell ref="I39:I42"/>
    <mergeCell ref="A64:J64"/>
    <mergeCell ref="H29:H33"/>
    <mergeCell ref="J35:J36"/>
    <mergeCell ref="C37:C38"/>
    <mergeCell ref="D37:D38"/>
    <mergeCell ref="E37:E38"/>
    <mergeCell ref="F37:F38"/>
    <mergeCell ref="G37:G38"/>
    <mergeCell ref="H37:H38"/>
    <mergeCell ref="E35:E36"/>
    <mergeCell ref="F35:F36"/>
    <mergeCell ref="G35:G36"/>
    <mergeCell ref="A65:J65"/>
    <mergeCell ref="A1:J1"/>
    <mergeCell ref="A2:A4"/>
    <mergeCell ref="B2:B4"/>
    <mergeCell ref="C2:D2"/>
    <mergeCell ref="F2:G2"/>
    <mergeCell ref="H2:J2"/>
    <mergeCell ref="J29:J33"/>
    <mergeCell ref="A11:A12"/>
    <mergeCell ref="A17:A18"/>
    <mergeCell ref="A29:A33"/>
    <mergeCell ref="C29:C33"/>
    <mergeCell ref="D29:D33"/>
    <mergeCell ref="E29:E33"/>
    <mergeCell ref="G29:G33"/>
    <mergeCell ref="F29:F33"/>
    <mergeCell ref="H35:H36"/>
    <mergeCell ref="J37:J38"/>
    <mergeCell ref="C35:C36"/>
    <mergeCell ref="D35:D36"/>
    <mergeCell ref="G39:G42"/>
    <mergeCell ref="H39:H42"/>
    <mergeCell ref="J39:J42"/>
    <mergeCell ref="A39:A42"/>
    <mergeCell ref="C39:C42"/>
    <mergeCell ref="D39:D42"/>
    <mergeCell ref="E39:E42"/>
    <mergeCell ref="F39:F42"/>
    <mergeCell ref="A60:J60"/>
    <mergeCell ref="A61:J61"/>
    <mergeCell ref="A51:A52"/>
    <mergeCell ref="C51:C52"/>
    <mergeCell ref="D51:D52"/>
    <mergeCell ref="E51:E52"/>
    <mergeCell ref="F51:F52"/>
    <mergeCell ref="G51:G52"/>
    <mergeCell ref="H51:H52"/>
    <mergeCell ref="J51:J52"/>
    <mergeCell ref="I51:I52"/>
    <mergeCell ref="A57:B57"/>
    <mergeCell ref="A59:J59"/>
  </mergeCells>
  <printOptions horizontalCentered="1" verticalCentered="1"/>
  <pageMargins left="0.25" right="0.25" top="0.75" bottom="0.75" header="0.3" footer="0.3"/>
  <pageSetup paperSize="9" scale="88" fitToHeight="0" orientation="landscape" r:id="rId1"/>
  <rowBreaks count="3" manualBreakCount="3">
    <brk id="18" max="8" man="1"/>
    <brk id="33" max="8" man="1"/>
    <brk id="49"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A10"/>
  <sheetViews>
    <sheetView view="pageBreakPreview" zoomScaleNormal="100" zoomScaleSheetLayoutView="100" workbookViewId="0">
      <selection activeCell="A9" sqref="A9:AA9"/>
    </sheetView>
  </sheetViews>
  <sheetFormatPr defaultColWidth="8.7109375" defaultRowHeight="15" x14ac:dyDescent="0.25"/>
  <cols>
    <col min="1" max="1" width="19.28515625" customWidth="1"/>
    <col min="2" max="2" width="7.42578125" customWidth="1"/>
    <col min="3" max="3" width="8.28515625" customWidth="1"/>
    <col min="4" max="4" width="8.85546875" bestFit="1" customWidth="1"/>
    <col min="5" max="5" width="3.85546875" customWidth="1"/>
    <col min="6" max="6" width="8.7109375" bestFit="1" customWidth="1"/>
    <col min="7" max="7" width="3.28515625" bestFit="1" customWidth="1"/>
    <col min="8" max="8" width="6.5703125" customWidth="1"/>
    <col min="9" max="9" width="3.5703125" bestFit="1" customWidth="1"/>
    <col min="10" max="10" width="8.7109375" bestFit="1" customWidth="1"/>
    <col min="11" max="11" width="3.85546875" customWidth="1"/>
    <col min="12" max="12" width="4.42578125" bestFit="1" customWidth="1"/>
    <col min="13" max="13" width="8" bestFit="1" customWidth="1"/>
    <col min="14" max="14" width="3.7109375" customWidth="1"/>
    <col min="15" max="15" width="8.85546875" bestFit="1" customWidth="1"/>
    <col min="16" max="17" width="8.85546875" customWidth="1"/>
    <col min="18" max="18" width="5" customWidth="1"/>
    <col min="19" max="19" width="8.5703125" customWidth="1"/>
    <col min="20" max="20" width="3.5703125" bestFit="1" customWidth="1"/>
    <col min="21" max="21" width="7.85546875" bestFit="1" customWidth="1"/>
    <col min="22" max="22" width="3.140625" bestFit="1" customWidth="1"/>
    <col min="24" max="24" width="3.140625" bestFit="1" customWidth="1"/>
    <col min="26" max="26" width="3.28515625" customWidth="1"/>
  </cols>
  <sheetData>
    <row r="1" spans="1:27" ht="23.25" customHeight="1" x14ac:dyDescent="0.25">
      <c r="A1" s="1139" t="s">
        <v>386</v>
      </c>
      <c r="B1" s="1139"/>
      <c r="C1" s="1139"/>
      <c r="D1" s="1139"/>
      <c r="E1" s="1139"/>
      <c r="F1" s="1139"/>
      <c r="G1" s="1139"/>
      <c r="H1" s="1139"/>
      <c r="I1" s="1139"/>
      <c r="J1" s="1139"/>
      <c r="K1" s="1139"/>
      <c r="L1" s="1139"/>
      <c r="M1" s="1139"/>
      <c r="N1" s="1139"/>
      <c r="O1" s="1139"/>
      <c r="P1" s="1139"/>
      <c r="Q1" s="1139"/>
      <c r="R1" s="1139"/>
      <c r="S1" s="1139"/>
      <c r="T1" s="1139"/>
    </row>
    <row r="2" spans="1:27" s="12" customFormat="1" ht="28.9" customHeight="1" x14ac:dyDescent="0.2">
      <c r="A2" s="966" t="s">
        <v>156</v>
      </c>
      <c r="B2" s="966" t="s">
        <v>282</v>
      </c>
      <c r="C2" s="966" t="s">
        <v>157</v>
      </c>
      <c r="D2" s="966" t="s">
        <v>158</v>
      </c>
      <c r="E2" s="969" t="s">
        <v>337</v>
      </c>
      <c r="F2" s="970"/>
      <c r="G2" s="969" t="s">
        <v>277</v>
      </c>
      <c r="H2" s="970"/>
      <c r="I2" s="969" t="s">
        <v>159</v>
      </c>
      <c r="J2" s="970"/>
      <c r="K2" s="976" t="s">
        <v>717</v>
      </c>
      <c r="L2" s="977"/>
      <c r="M2" s="977"/>
      <c r="N2" s="977"/>
      <c r="O2" s="978"/>
      <c r="P2" s="966" t="s">
        <v>250</v>
      </c>
      <c r="Q2" s="966" t="s">
        <v>630</v>
      </c>
      <c r="R2" s="969" t="s">
        <v>718</v>
      </c>
      <c r="S2" s="970"/>
      <c r="T2" s="969" t="s">
        <v>719</v>
      </c>
      <c r="U2" s="970"/>
      <c r="V2" s="982" t="s">
        <v>719</v>
      </c>
      <c r="W2" s="982"/>
      <c r="X2" s="982"/>
      <c r="Y2" s="982"/>
      <c r="Z2" s="982"/>
      <c r="AA2" s="982"/>
    </row>
    <row r="3" spans="1:27" s="12" customFormat="1" ht="14.45" customHeight="1" x14ac:dyDescent="0.2">
      <c r="A3" s="967"/>
      <c r="B3" s="967"/>
      <c r="C3" s="967"/>
      <c r="D3" s="967"/>
      <c r="E3" s="971"/>
      <c r="F3" s="972"/>
      <c r="G3" s="971"/>
      <c r="H3" s="972"/>
      <c r="I3" s="971"/>
      <c r="J3" s="972"/>
      <c r="K3" s="976" t="s">
        <v>160</v>
      </c>
      <c r="L3" s="977"/>
      <c r="M3" s="978"/>
      <c r="N3" s="969" t="s">
        <v>631</v>
      </c>
      <c r="O3" s="970"/>
      <c r="P3" s="967"/>
      <c r="Q3" s="967"/>
      <c r="R3" s="971"/>
      <c r="S3" s="972"/>
      <c r="T3" s="971"/>
      <c r="U3" s="972"/>
      <c r="V3" s="982"/>
      <c r="W3" s="982"/>
      <c r="X3" s="982"/>
      <c r="Y3" s="982"/>
      <c r="Z3" s="982"/>
      <c r="AA3" s="982"/>
    </row>
    <row r="4" spans="1:27" s="12" customFormat="1" ht="20.25" customHeight="1" x14ac:dyDescent="0.2">
      <c r="A4" s="967"/>
      <c r="B4" s="967"/>
      <c r="C4" s="967"/>
      <c r="D4" s="967"/>
      <c r="E4" s="973"/>
      <c r="F4" s="974"/>
      <c r="G4" s="973"/>
      <c r="H4" s="974"/>
      <c r="I4" s="973"/>
      <c r="J4" s="974"/>
      <c r="K4" s="979" t="s">
        <v>161</v>
      </c>
      <c r="L4" s="976" t="s">
        <v>247</v>
      </c>
      <c r="M4" s="978"/>
      <c r="N4" s="973"/>
      <c r="O4" s="974"/>
      <c r="P4" s="975"/>
      <c r="Q4" s="975"/>
      <c r="R4" s="973"/>
      <c r="S4" s="974"/>
      <c r="T4" s="973"/>
      <c r="U4" s="974"/>
      <c r="V4" s="982" t="s">
        <v>587</v>
      </c>
      <c r="W4" s="982"/>
      <c r="X4" s="982" t="s">
        <v>588</v>
      </c>
      <c r="Y4" s="982"/>
      <c r="Z4" s="982" t="s">
        <v>589</v>
      </c>
      <c r="AA4" s="982"/>
    </row>
    <row r="5" spans="1:27" s="12" customFormat="1" ht="21" x14ac:dyDescent="0.2">
      <c r="A5" s="968"/>
      <c r="B5" s="968"/>
      <c r="C5" s="968"/>
      <c r="D5" s="968"/>
      <c r="E5" s="160" t="s">
        <v>161</v>
      </c>
      <c r="F5" s="130" t="s">
        <v>162</v>
      </c>
      <c r="G5" s="15" t="s">
        <v>161</v>
      </c>
      <c r="H5" s="16" t="s">
        <v>162</v>
      </c>
      <c r="I5" s="160" t="s">
        <v>161</v>
      </c>
      <c r="J5" s="130" t="s">
        <v>162</v>
      </c>
      <c r="K5" s="980"/>
      <c r="L5" s="160" t="s">
        <v>161</v>
      </c>
      <c r="M5" s="130" t="s">
        <v>162</v>
      </c>
      <c r="N5" s="160" t="s">
        <v>161</v>
      </c>
      <c r="O5" s="130" t="s">
        <v>162</v>
      </c>
      <c r="P5" s="16" t="s">
        <v>162</v>
      </c>
      <c r="Q5" s="16" t="s">
        <v>162</v>
      </c>
      <c r="R5" s="15" t="s">
        <v>161</v>
      </c>
      <c r="S5" s="16" t="s">
        <v>162</v>
      </c>
      <c r="T5" s="78" t="s">
        <v>161</v>
      </c>
      <c r="U5" s="79" t="s">
        <v>162</v>
      </c>
      <c r="V5" s="227" t="s">
        <v>161</v>
      </c>
      <c r="W5" s="218" t="s">
        <v>162</v>
      </c>
      <c r="X5" s="227" t="s">
        <v>161</v>
      </c>
      <c r="Y5" s="218" t="s">
        <v>162</v>
      </c>
      <c r="Z5" s="227" t="s">
        <v>161</v>
      </c>
      <c r="AA5" s="218" t="s">
        <v>162</v>
      </c>
    </row>
    <row r="6" spans="1:27" s="23" customFormat="1" ht="57" x14ac:dyDescent="0.25">
      <c r="A6" s="320" t="s">
        <v>384</v>
      </c>
      <c r="B6" s="151">
        <v>50401</v>
      </c>
      <c r="C6" s="257">
        <v>4000000</v>
      </c>
      <c r="D6" s="111">
        <v>44141</v>
      </c>
      <c r="E6" s="91">
        <v>689</v>
      </c>
      <c r="F6" s="220">
        <v>3075000</v>
      </c>
      <c r="G6" s="82">
        <v>1</v>
      </c>
      <c r="H6" s="82">
        <v>5000</v>
      </c>
      <c r="I6" s="91">
        <v>689</v>
      </c>
      <c r="J6" s="220">
        <v>3075000</v>
      </c>
      <c r="K6" s="91">
        <v>668</v>
      </c>
      <c r="L6" s="220">
        <v>668</v>
      </c>
      <c r="M6" s="91">
        <v>2954000</v>
      </c>
      <c r="N6" s="220">
        <v>20</v>
      </c>
      <c r="O6" s="91">
        <v>78000</v>
      </c>
      <c r="P6" s="59">
        <v>0</v>
      </c>
      <c r="Q6" s="91">
        <f>C6-M6</f>
        <v>1046000</v>
      </c>
      <c r="R6" s="220">
        <v>653</v>
      </c>
      <c r="S6" s="91">
        <v>2888999.99</v>
      </c>
      <c r="T6" s="91">
        <v>651</v>
      </c>
      <c r="U6" s="91">
        <v>2888999.99</v>
      </c>
      <c r="V6" s="22">
        <v>0</v>
      </c>
      <c r="W6" s="22">
        <v>0</v>
      </c>
      <c r="X6" s="22">
        <v>0</v>
      </c>
      <c r="Y6" s="22">
        <v>0</v>
      </c>
      <c r="Z6" s="22">
        <v>649</v>
      </c>
      <c r="AA6" s="22">
        <v>2888999.99</v>
      </c>
    </row>
    <row r="7" spans="1:27" x14ac:dyDescent="0.25">
      <c r="A7" s="19" t="s">
        <v>314</v>
      </c>
      <c r="B7" s="60"/>
      <c r="C7" s="20">
        <f>SUM(C6:C6)</f>
        <v>4000000</v>
      </c>
      <c r="D7" s="20"/>
      <c r="E7" s="20">
        <f t="shared" ref="E7:U7" si="0">SUM(E6:E6)</f>
        <v>689</v>
      </c>
      <c r="F7" s="20">
        <f t="shared" si="0"/>
        <v>3075000</v>
      </c>
      <c r="G7" s="20">
        <f t="shared" si="0"/>
        <v>1</v>
      </c>
      <c r="H7" s="20">
        <f t="shared" si="0"/>
        <v>5000</v>
      </c>
      <c r="I7" s="20">
        <f t="shared" si="0"/>
        <v>689</v>
      </c>
      <c r="J7" s="20">
        <f t="shared" si="0"/>
        <v>3075000</v>
      </c>
      <c r="K7" s="20">
        <f t="shared" si="0"/>
        <v>668</v>
      </c>
      <c r="L7" s="20">
        <f t="shared" si="0"/>
        <v>668</v>
      </c>
      <c r="M7" s="20">
        <f t="shared" si="0"/>
        <v>2954000</v>
      </c>
      <c r="N7" s="20">
        <f t="shared" si="0"/>
        <v>20</v>
      </c>
      <c r="O7" s="20">
        <f t="shared" si="0"/>
        <v>78000</v>
      </c>
      <c r="P7" s="20">
        <f t="shared" si="0"/>
        <v>0</v>
      </c>
      <c r="Q7" s="20">
        <f t="shared" si="0"/>
        <v>1046000</v>
      </c>
      <c r="R7" s="20">
        <f t="shared" si="0"/>
        <v>653</v>
      </c>
      <c r="S7" s="20">
        <f t="shared" si="0"/>
        <v>2888999.99</v>
      </c>
      <c r="T7" s="20">
        <f t="shared" si="0"/>
        <v>651</v>
      </c>
      <c r="U7" s="20">
        <f t="shared" si="0"/>
        <v>2888999.99</v>
      </c>
      <c r="V7" s="20">
        <f t="shared" ref="V7:AA7" si="1">SUM(V6:V6)</f>
        <v>0</v>
      </c>
      <c r="W7" s="20">
        <f t="shared" si="1"/>
        <v>0</v>
      </c>
      <c r="X7" s="20">
        <f t="shared" si="1"/>
        <v>0</v>
      </c>
      <c r="Y7" s="20">
        <f t="shared" si="1"/>
        <v>0</v>
      </c>
      <c r="Z7" s="20">
        <f t="shared" si="1"/>
        <v>649</v>
      </c>
      <c r="AA7" s="20">
        <f t="shared" si="1"/>
        <v>2888999.99</v>
      </c>
    </row>
    <row r="8" spans="1:27" ht="15" customHeight="1" x14ac:dyDescent="0.25">
      <c r="A8" s="219" t="s">
        <v>390</v>
      </c>
      <c r="B8" s="140"/>
      <c r="C8" s="140"/>
      <c r="D8" s="140"/>
      <c r="E8" s="140"/>
      <c r="F8" s="140"/>
      <c r="G8" s="140"/>
      <c r="H8" s="140"/>
      <c r="I8" s="140"/>
      <c r="J8" s="140"/>
      <c r="K8" s="140"/>
      <c r="L8" s="140"/>
      <c r="M8" s="140"/>
      <c r="N8" s="140"/>
      <c r="O8" s="140"/>
      <c r="P8" s="140"/>
      <c r="Q8" s="140"/>
      <c r="R8" s="140"/>
      <c r="S8" s="140"/>
    </row>
    <row r="9" spans="1:27" s="23" customFormat="1" ht="25.9" customHeight="1" x14ac:dyDescent="0.25">
      <c r="A9" s="981" t="s">
        <v>732</v>
      </c>
      <c r="B9" s="981"/>
      <c r="C9" s="981"/>
      <c r="D9" s="981"/>
      <c r="E9" s="981"/>
      <c r="F9" s="981"/>
      <c r="G9" s="981"/>
      <c r="H9" s="981"/>
      <c r="I9" s="981"/>
      <c r="J9" s="981"/>
      <c r="K9" s="981"/>
      <c r="L9" s="981"/>
      <c r="M9" s="981"/>
      <c r="N9" s="981"/>
      <c r="O9" s="981"/>
      <c r="P9" s="981"/>
      <c r="Q9" s="981"/>
      <c r="R9" s="981"/>
      <c r="S9" s="981"/>
      <c r="T9" s="981"/>
      <c r="U9" s="981"/>
      <c r="V9" s="981"/>
      <c r="W9" s="981"/>
      <c r="X9" s="981"/>
      <c r="Y9" s="981"/>
      <c r="Z9" s="981"/>
      <c r="AA9" s="981"/>
    </row>
    <row r="10" spans="1:27" x14ac:dyDescent="0.25">
      <c r="A10" s="12"/>
      <c r="B10" s="12"/>
    </row>
  </sheetData>
  <mergeCells count="22">
    <mergeCell ref="A9:AA9"/>
    <mergeCell ref="N3:O4"/>
    <mergeCell ref="Q2:Q4"/>
    <mergeCell ref="V2:AA3"/>
    <mergeCell ref="V4:W4"/>
    <mergeCell ref="X4:Y4"/>
    <mergeCell ref="Z4:AA4"/>
    <mergeCell ref="K4:K5"/>
    <mergeCell ref="L4:M4"/>
    <mergeCell ref="A1:T1"/>
    <mergeCell ref="A2:A5"/>
    <mergeCell ref="B2:B5"/>
    <mergeCell ref="C2:C5"/>
    <mergeCell ref="D2:D5"/>
    <mergeCell ref="E2:F4"/>
    <mergeCell ref="G2:H4"/>
    <mergeCell ref="I2:J4"/>
    <mergeCell ref="K2:O2"/>
    <mergeCell ref="P2:P4"/>
    <mergeCell ref="R2:S4"/>
    <mergeCell ref="T2:U4"/>
    <mergeCell ref="K3:M3"/>
  </mergeCells>
  <printOptions horizontalCentered="1" verticalCentered="1"/>
  <pageMargins left="0.70866141732283472" right="0.70866141732283472" top="0.74803149606299213" bottom="0.74803149606299213" header="0.31496062992125984" footer="0.31496062992125984"/>
  <pageSetup paperSize="9" scale="7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A93B8-FA4E-4FFC-9217-0A5F767EE569}">
  <dimension ref="A1:F9"/>
  <sheetViews>
    <sheetView view="pageBreakPreview" topLeftCell="B1" zoomScale="130" zoomScaleNormal="175" zoomScaleSheetLayoutView="130" workbookViewId="0">
      <selection activeCell="A9" sqref="A9:F9"/>
    </sheetView>
  </sheetViews>
  <sheetFormatPr defaultRowHeight="15" x14ac:dyDescent="0.25"/>
  <cols>
    <col min="1" max="1" width="10.28515625" bestFit="1" customWidth="1"/>
    <col min="2" max="2" width="19.85546875" customWidth="1"/>
    <col min="3" max="3" width="16.140625" customWidth="1"/>
    <col min="4" max="4" width="14" style="13" customWidth="1"/>
    <col min="5" max="5" width="14.85546875" customWidth="1"/>
    <col min="6" max="6" width="14.85546875" style="13" customWidth="1"/>
  </cols>
  <sheetData>
    <row r="1" spans="1:6" x14ac:dyDescent="0.25">
      <c r="A1" s="1146" t="s">
        <v>720</v>
      </c>
      <c r="B1" s="1146"/>
      <c r="C1" s="1146"/>
      <c r="D1" s="1146"/>
      <c r="E1" s="1146"/>
      <c r="F1" s="1146"/>
    </row>
    <row r="3" spans="1:6" ht="36" x14ac:dyDescent="0.25">
      <c r="A3" s="430" t="s">
        <v>638</v>
      </c>
      <c r="B3" s="429" t="s">
        <v>663</v>
      </c>
      <c r="C3" s="430" t="s">
        <v>721</v>
      </c>
      <c r="D3" s="430" t="s">
        <v>639</v>
      </c>
      <c r="E3" s="430" t="s">
        <v>722</v>
      </c>
      <c r="F3" s="430" t="s">
        <v>640</v>
      </c>
    </row>
    <row r="4" spans="1:6" x14ac:dyDescent="0.25">
      <c r="A4" s="431" t="s">
        <v>65</v>
      </c>
      <c r="B4" s="432">
        <v>725816.74</v>
      </c>
      <c r="C4" s="433">
        <v>725816.74</v>
      </c>
      <c r="D4" s="434">
        <f t="shared" ref="D4" si="0">C4/B4</f>
        <v>1</v>
      </c>
      <c r="E4" s="433">
        <v>679804.03999999992</v>
      </c>
      <c r="F4" s="434">
        <f t="shared" ref="F4" si="1">E4/B4</f>
        <v>0.93660562306678119</v>
      </c>
    </row>
    <row r="5" spans="1:6" x14ac:dyDescent="0.25">
      <c r="A5" s="431" t="s">
        <v>67</v>
      </c>
      <c r="B5" s="433">
        <v>78729496.424594223</v>
      </c>
      <c r="C5" s="433">
        <f>'M19'!M16</f>
        <v>70101189.949999988</v>
      </c>
      <c r="D5" s="434">
        <f>C5/B5</f>
        <v>0.89040566920355857</v>
      </c>
      <c r="E5" s="433">
        <f>'M19'!T16</f>
        <v>20191745.199999999</v>
      </c>
      <c r="F5" s="434">
        <f>E5/B5</f>
        <v>0.25646988888515643</v>
      </c>
    </row>
    <row r="6" spans="1:6" x14ac:dyDescent="0.25">
      <c r="A6" s="431" t="s">
        <v>69</v>
      </c>
      <c r="B6" s="432">
        <v>2891597</v>
      </c>
      <c r="C6" s="433">
        <f>'M19'!M26</f>
        <v>2293330.8800000004</v>
      </c>
      <c r="D6" s="434">
        <f t="shared" ref="D6:D7" si="2">C6/B6</f>
        <v>0.79310183265510381</v>
      </c>
      <c r="E6" s="433">
        <f>'M19'!T26</f>
        <v>685834.50999999978</v>
      </c>
      <c r="F6" s="434">
        <f>E6/B6</f>
        <v>0.23718191366224262</v>
      </c>
    </row>
    <row r="7" spans="1:6" x14ac:dyDescent="0.25">
      <c r="A7" s="431" t="s">
        <v>71</v>
      </c>
      <c r="B7" s="432">
        <v>16924299.284918845</v>
      </c>
      <c r="C7" s="433">
        <f>'M19'!M34</f>
        <v>16366033.25</v>
      </c>
      <c r="D7" s="434">
        <f t="shared" si="2"/>
        <v>0.96701393508112254</v>
      </c>
      <c r="E7" s="433">
        <f>'M19'!T34</f>
        <v>10427375.65</v>
      </c>
      <c r="F7" s="434">
        <f t="shared" ref="F7" si="3">E7/B7</f>
        <v>0.61611860405303642</v>
      </c>
    </row>
    <row r="8" spans="1:6" x14ac:dyDescent="0.25">
      <c r="A8" s="19" t="s">
        <v>641</v>
      </c>
      <c r="B8" s="428">
        <f>SUM(B4:B7)</f>
        <v>99271209.449513063</v>
      </c>
      <c r="C8" s="428">
        <f t="shared" ref="C8:E8" si="4">SUM(C4:C7)</f>
        <v>89486370.819999978</v>
      </c>
      <c r="D8" s="427">
        <f>C8/B8</f>
        <v>0.90143326868109308</v>
      </c>
      <c r="E8" s="428">
        <f t="shared" si="4"/>
        <v>31984759.399999999</v>
      </c>
      <c r="F8" s="427">
        <f t="shared" ref="F8" si="5">E8/B8</f>
        <v>0.32219572600519863</v>
      </c>
    </row>
    <row r="9" spans="1:6" ht="34.15" customHeight="1" x14ac:dyDescent="0.25">
      <c r="A9" s="1140" t="s">
        <v>733</v>
      </c>
      <c r="B9" s="1140"/>
      <c r="C9" s="1140"/>
      <c r="D9" s="1140"/>
      <c r="E9" s="1140"/>
      <c r="F9" s="1140"/>
    </row>
  </sheetData>
  <mergeCells count="2">
    <mergeCell ref="A1:F1"/>
    <mergeCell ref="A9:F9"/>
  </mergeCells>
  <printOptions horizontalCentered="1"/>
  <pageMargins left="0.70866141732283472" right="0.70866141732283472" top="0.74803149606299213" bottom="0.74803149606299213" header="0.31496062992125984" footer="0.31496062992125984"/>
  <pageSetup paperSize="9" scale="115"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FB0D-5605-4560-9C4A-6E40FFC90529}">
  <dimension ref="A1:K23"/>
  <sheetViews>
    <sheetView view="pageBreakPreview" topLeftCell="A5" zoomScale="110" zoomScaleNormal="160" zoomScaleSheetLayoutView="110" workbookViewId="0">
      <selection activeCell="K15" sqref="K15"/>
    </sheetView>
  </sheetViews>
  <sheetFormatPr defaultRowHeight="15" x14ac:dyDescent="0.25"/>
  <cols>
    <col min="1" max="1" width="8.7109375" customWidth="1"/>
    <col min="2" max="3" width="16.28515625" style="425" customWidth="1"/>
    <col min="4" max="4" width="16.5703125" style="425" customWidth="1"/>
    <col min="5" max="5" width="14.28515625" customWidth="1"/>
    <col min="6" max="6" width="16.28515625" style="425" customWidth="1"/>
    <col min="7" max="7" width="8.85546875" bestFit="1" customWidth="1"/>
    <col min="8" max="8" width="10" customWidth="1"/>
    <col min="9" max="9" width="10.85546875" customWidth="1"/>
    <col min="10" max="10" width="11.42578125" customWidth="1"/>
    <col min="11" max="11" width="10.7109375" customWidth="1"/>
  </cols>
  <sheetData>
    <row r="1" spans="1:11" x14ac:dyDescent="0.25">
      <c r="A1" s="1147" t="s">
        <v>723</v>
      </c>
      <c r="B1" s="1147"/>
      <c r="C1" s="1147"/>
      <c r="D1" s="1147"/>
      <c r="E1" s="1147"/>
      <c r="F1" s="1147"/>
      <c r="G1" s="1147"/>
      <c r="H1" s="1147"/>
      <c r="I1" s="1147"/>
      <c r="J1" s="1147"/>
      <c r="K1" s="1147"/>
    </row>
    <row r="2" spans="1:11" ht="7.15" customHeight="1" x14ac:dyDescent="0.25"/>
    <row r="3" spans="1:11" s="13" customFormat="1" ht="55.9" customHeight="1" x14ac:dyDescent="0.25">
      <c r="A3" s="430" t="s">
        <v>297</v>
      </c>
      <c r="B3" s="429" t="s">
        <v>663</v>
      </c>
      <c r="C3" s="439" t="s">
        <v>670</v>
      </c>
      <c r="D3" s="438" t="s">
        <v>724</v>
      </c>
      <c r="E3" s="438" t="s">
        <v>725</v>
      </c>
      <c r="F3" s="438" t="s">
        <v>726</v>
      </c>
      <c r="G3" s="438" t="s">
        <v>639</v>
      </c>
      <c r="H3" s="598" t="s">
        <v>727</v>
      </c>
      <c r="I3" s="438" t="s">
        <v>728</v>
      </c>
      <c r="J3" s="438" t="s">
        <v>729</v>
      </c>
      <c r="K3" s="438" t="s">
        <v>640</v>
      </c>
    </row>
    <row r="4" spans="1:11" s="13" customFormat="1" x14ac:dyDescent="0.25">
      <c r="A4" s="438"/>
      <c r="B4" s="439" t="s">
        <v>305</v>
      </c>
      <c r="C4" s="439"/>
      <c r="D4" s="438" t="s">
        <v>306</v>
      </c>
      <c r="E4" s="438" t="s">
        <v>307</v>
      </c>
      <c r="F4" s="438" t="s">
        <v>665</v>
      </c>
      <c r="G4" s="438" t="s">
        <v>519</v>
      </c>
      <c r="H4" s="438" t="s">
        <v>517</v>
      </c>
      <c r="I4" s="438" t="s">
        <v>642</v>
      </c>
      <c r="J4" s="438" t="s">
        <v>666</v>
      </c>
      <c r="K4" s="438" t="s">
        <v>667</v>
      </c>
    </row>
    <row r="5" spans="1:11" x14ac:dyDescent="0.25">
      <c r="A5" s="435">
        <v>1</v>
      </c>
      <c r="B5" s="436">
        <v>4484070.4823210798</v>
      </c>
      <c r="C5" s="525">
        <v>905834.78999999992</v>
      </c>
      <c r="D5" s="528">
        <v>905102.79</v>
      </c>
      <c r="E5" s="528">
        <f>'GAL ANGLONA ROMANGIA'!N12</f>
        <v>3809667.3699999996</v>
      </c>
      <c r="F5" s="440">
        <f>D5+E5</f>
        <v>4714770.16</v>
      </c>
      <c r="G5" s="441">
        <f>F5/B5</f>
        <v>1.051448717987034</v>
      </c>
      <c r="H5" s="573">
        <v>300143.51</v>
      </c>
      <c r="I5" s="528">
        <f>'GAL ANGLONA ROMANGIA'!U12</f>
        <v>1735590.75</v>
      </c>
      <c r="J5" s="440">
        <f>H5+I5</f>
        <v>2035734.26</v>
      </c>
      <c r="K5" s="441">
        <f>J5/B5</f>
        <v>0.45399247581546648</v>
      </c>
    </row>
    <row r="6" spans="1:11" x14ac:dyDescent="0.25">
      <c r="A6" s="435">
        <v>2</v>
      </c>
      <c r="B6" s="436">
        <v>4139677.8313449896</v>
      </c>
      <c r="C6" s="525">
        <v>274973</v>
      </c>
      <c r="D6" s="528">
        <v>274973</v>
      </c>
      <c r="E6" s="528">
        <f>'GAL BARBAGIA_GAL BARIGADU'!N19</f>
        <v>4463707.57</v>
      </c>
      <c r="F6" s="440">
        <f t="shared" ref="F6:F21" si="0">D6+E6</f>
        <v>4738680.57</v>
      </c>
      <c r="G6" s="441">
        <f t="shared" ref="G6:G20" si="1">F6/B6</f>
        <v>1.1446979120257756</v>
      </c>
      <c r="H6" s="573"/>
      <c r="I6" s="528">
        <f>'GAL BARBAGIA_GAL BARIGADU'!U19</f>
        <v>1759241.22</v>
      </c>
      <c r="J6" s="440">
        <f t="shared" ref="J6:J21" si="2">H6+I6</f>
        <v>1759241.22</v>
      </c>
      <c r="K6" s="441">
        <f t="shared" ref="K6:K21" si="3">J6/B6</f>
        <v>0.42497056333207917</v>
      </c>
    </row>
    <row r="7" spans="1:11" x14ac:dyDescent="0.25">
      <c r="A7" s="435">
        <v>3</v>
      </c>
      <c r="B7" s="436">
        <v>4112848.5516246753</v>
      </c>
      <c r="C7" s="525">
        <v>403230.99</v>
      </c>
      <c r="D7" s="529">
        <v>403230.99</v>
      </c>
      <c r="E7" s="528">
        <f>'GAL BARBAGIA_GAL BARIGADU'!N34</f>
        <v>2335636.4500000002</v>
      </c>
      <c r="F7" s="440">
        <f t="shared" si="0"/>
        <v>2738867.4400000004</v>
      </c>
      <c r="G7" s="441">
        <f t="shared" si="1"/>
        <v>0.66592956332371667</v>
      </c>
      <c r="H7" s="573"/>
      <c r="I7" s="528">
        <f>'GAL BARBAGIA_GAL BARIGADU'!U34</f>
        <v>1050754.4100000001</v>
      </c>
      <c r="J7" s="440">
        <f t="shared" si="2"/>
        <v>1050754.4100000001</v>
      </c>
      <c r="K7" s="441">
        <f t="shared" si="3"/>
        <v>0.25548093901608088</v>
      </c>
    </row>
    <row r="8" spans="1:11" x14ac:dyDescent="0.25">
      <c r="A8" s="435">
        <v>4</v>
      </c>
      <c r="B8" s="436">
        <v>4557813.2470303206</v>
      </c>
      <c r="C8" s="525">
        <v>396888.19</v>
      </c>
      <c r="D8" s="528">
        <v>396888.19</v>
      </c>
      <c r="E8" s="528">
        <f>'GAL CAMPIDANO_GAL BMG'!N19</f>
        <v>1508323.5499999998</v>
      </c>
      <c r="F8" s="440">
        <f t="shared" si="0"/>
        <v>1905211.7399999998</v>
      </c>
      <c r="G8" s="441">
        <f t="shared" si="1"/>
        <v>0.41801004927996022</v>
      </c>
      <c r="H8" s="573"/>
      <c r="I8" s="528">
        <f>'GAL CAMPIDANO_GAL BMG'!U19</f>
        <v>90245.189999999988</v>
      </c>
      <c r="J8" s="440">
        <f t="shared" si="2"/>
        <v>90245.189999999988</v>
      </c>
      <c r="K8" s="441">
        <f t="shared" si="3"/>
        <v>1.9800107004998495E-2</v>
      </c>
    </row>
    <row r="9" spans="1:11" x14ac:dyDescent="0.25">
      <c r="A9" s="435">
        <v>5</v>
      </c>
      <c r="B9" s="436">
        <v>4189093.948272015</v>
      </c>
      <c r="C9" s="525">
        <v>344904.12</v>
      </c>
      <c r="D9" s="528">
        <v>539372.12</v>
      </c>
      <c r="E9" s="528">
        <f>'GAL CAMPIDANO_GAL BMG'!N50</f>
        <v>3859931.91</v>
      </c>
      <c r="F9" s="440">
        <f t="shared" si="0"/>
        <v>4399304.03</v>
      </c>
      <c r="G9" s="441">
        <f t="shared" si="1"/>
        <v>1.050180321645614</v>
      </c>
      <c r="H9" s="573"/>
      <c r="I9" s="528">
        <f>'GAL CAMPIDANO_GAL BMG'!U50</f>
        <v>1223996.5999999999</v>
      </c>
      <c r="J9" s="440">
        <f t="shared" si="2"/>
        <v>1223996.5999999999</v>
      </c>
      <c r="K9" s="441">
        <f t="shared" si="3"/>
        <v>0.29218647638707024</v>
      </c>
    </row>
    <row r="10" spans="1:11" x14ac:dyDescent="0.25">
      <c r="A10" s="435">
        <v>6</v>
      </c>
      <c r="B10" s="436">
        <v>5286496.1297358153</v>
      </c>
      <c r="C10" s="525">
        <v>230298.83</v>
      </c>
      <c r="D10" s="528">
        <v>230298.83</v>
      </c>
      <c r="E10" s="528">
        <f>'GAL GALLURA_GAL LINAS'!N23</f>
        <v>3755464.08</v>
      </c>
      <c r="F10" s="440">
        <f t="shared" si="0"/>
        <v>3985762.91</v>
      </c>
      <c r="G10" s="441">
        <f t="shared" si="1"/>
        <v>0.75395173138983884</v>
      </c>
      <c r="H10" s="573"/>
      <c r="I10" s="528">
        <f>'GAL GALLURA_GAL LINAS'!U23</f>
        <v>432828.32999999996</v>
      </c>
      <c r="J10" s="440">
        <f t="shared" si="2"/>
        <v>432828.32999999996</v>
      </c>
      <c r="K10" s="441">
        <f t="shared" si="3"/>
        <v>8.1874330251638691E-2</v>
      </c>
    </row>
    <row r="11" spans="1:11" x14ac:dyDescent="0.25">
      <c r="A11" s="435">
        <v>7</v>
      </c>
      <c r="B11" s="436">
        <v>4646084.1733281789</v>
      </c>
      <c r="C11" s="526">
        <v>0</v>
      </c>
      <c r="D11" s="529">
        <v>0</v>
      </c>
      <c r="E11" s="528">
        <f>'GAL GALLURA_GAL LINAS'!N46</f>
        <v>4751483.1600000011</v>
      </c>
      <c r="F11" s="440">
        <f t="shared" si="0"/>
        <v>4751483.1600000011</v>
      </c>
      <c r="G11" s="441">
        <f t="shared" si="1"/>
        <v>1.0226855525513048</v>
      </c>
      <c r="H11" s="573"/>
      <c r="I11" s="528">
        <f>'GAL GALLURA_GAL LINAS'!U46</f>
        <v>2178090.9400000004</v>
      </c>
      <c r="J11" s="440">
        <f t="shared" si="2"/>
        <v>2178090.9400000004</v>
      </c>
      <c r="K11" s="441">
        <f t="shared" si="3"/>
        <v>0.46880143767170396</v>
      </c>
    </row>
    <row r="12" spans="1:11" x14ac:dyDescent="0.25">
      <c r="A12" s="435">
        <v>8</v>
      </c>
      <c r="B12" s="436">
        <v>5992995.8630595068</v>
      </c>
      <c r="C12" s="525">
        <v>516995.44000000006</v>
      </c>
      <c r="D12" s="528">
        <v>516995.44</v>
      </c>
      <c r="E12" s="528">
        <f>'GAL LOGUDORO_GAL MARGHINE'!N16</f>
        <v>3065239.8</v>
      </c>
      <c r="F12" s="440">
        <f t="shared" si="0"/>
        <v>3582235.2399999998</v>
      </c>
      <c r="G12" s="441">
        <f>F12/B12</f>
        <v>0.59773697860876207</v>
      </c>
      <c r="H12" s="573"/>
      <c r="I12" s="528">
        <f>'GAL LOGUDORO_GAL MARGHINE'!U16</f>
        <v>1397108</v>
      </c>
      <c r="J12" s="440">
        <f t="shared" si="2"/>
        <v>1397108</v>
      </c>
      <c r="K12" s="441">
        <f t="shared" si="3"/>
        <v>0.23312347145301668</v>
      </c>
    </row>
    <row r="13" spans="1:11" x14ac:dyDescent="0.25">
      <c r="A13" s="435">
        <v>9</v>
      </c>
      <c r="B13" s="436">
        <v>3967900.9110028418</v>
      </c>
      <c r="C13" s="526">
        <v>299955</v>
      </c>
      <c r="D13" s="529">
        <v>402191</v>
      </c>
      <c r="E13" s="528">
        <f>'GAL LOGUDORO_GAL MARGHINE'!N32</f>
        <v>2724580.96</v>
      </c>
      <c r="F13" s="440">
        <f t="shared" si="0"/>
        <v>3126771.96</v>
      </c>
      <c r="G13" s="441">
        <f t="shared" si="1"/>
        <v>0.78801664409753214</v>
      </c>
      <c r="H13" s="573"/>
      <c r="I13" s="528">
        <f>'GAL LOGUDORO_GAL MARGHINE'!U32</f>
        <v>215993.84000000003</v>
      </c>
      <c r="J13" s="440">
        <f t="shared" si="2"/>
        <v>215993.84000000003</v>
      </c>
      <c r="K13" s="441">
        <f t="shared" si="3"/>
        <v>5.4435290811082788E-2</v>
      </c>
    </row>
    <row r="14" spans="1:11" x14ac:dyDescent="0.25">
      <c r="A14" s="435">
        <v>10</v>
      </c>
      <c r="B14" s="436">
        <v>5046134.381827686</v>
      </c>
      <c r="C14" s="525">
        <v>855676.4</v>
      </c>
      <c r="D14" s="528">
        <v>855676.39999999991</v>
      </c>
      <c r="E14" s="528">
        <f>'GAL MARMILLA_GAL NUORESE B.'!N23</f>
        <v>4929951.83</v>
      </c>
      <c r="F14" s="440">
        <f t="shared" si="0"/>
        <v>5785628.2300000004</v>
      </c>
      <c r="G14" s="441">
        <f t="shared" si="1"/>
        <v>1.1465466022536785</v>
      </c>
      <c r="H14" s="573">
        <v>186961.74</v>
      </c>
      <c r="I14" s="528">
        <f>'GAL MARMILLA_GAL NUORESE B.'!U23</f>
        <v>961067.29</v>
      </c>
      <c r="J14" s="440">
        <f t="shared" si="2"/>
        <v>1148029.03</v>
      </c>
      <c r="K14" s="441">
        <f>J14/B14</f>
        <v>0.22750663044851163</v>
      </c>
    </row>
    <row r="15" spans="1:11" x14ac:dyDescent="0.25">
      <c r="A15" s="435">
        <v>11</v>
      </c>
      <c r="B15" s="436">
        <v>3853892.3352495283</v>
      </c>
      <c r="C15" s="525">
        <v>300015.40000000002</v>
      </c>
      <c r="D15" s="528">
        <v>359795.4</v>
      </c>
      <c r="E15" s="528">
        <f>'GAL MARMILLA_GAL NUORESE B.'!N40</f>
        <v>3601641.3699999996</v>
      </c>
      <c r="F15" s="440">
        <f t="shared" si="0"/>
        <v>3961436.7699999996</v>
      </c>
      <c r="G15" s="441">
        <f t="shared" si="1"/>
        <v>1.0279054071559859</v>
      </c>
      <c r="H15" s="573">
        <v>51801.85</v>
      </c>
      <c r="I15" s="528">
        <f>'GAL MARMILLA_GAL NUORESE B.'!U40</f>
        <v>2018768.3199999998</v>
      </c>
      <c r="J15" s="440">
        <f t="shared" si="2"/>
        <v>2070570.17</v>
      </c>
      <c r="K15" s="441">
        <f t="shared" si="3"/>
        <v>0.53726725862619007</v>
      </c>
    </row>
    <row r="16" spans="1:11" x14ac:dyDescent="0.25">
      <c r="A16" s="435">
        <v>12</v>
      </c>
      <c r="B16" s="436">
        <v>5063271.7287962819</v>
      </c>
      <c r="C16" s="525">
        <v>247234.66</v>
      </c>
      <c r="D16" s="528">
        <v>247224.64</v>
      </c>
      <c r="E16" s="528">
        <f>'GAL OGLIASTRA_GAL SARCIDANO'!N24</f>
        <v>4596518.93</v>
      </c>
      <c r="F16" s="440">
        <f t="shared" si="0"/>
        <v>4843743.5699999994</v>
      </c>
      <c r="G16" s="441">
        <f t="shared" si="1"/>
        <v>0.95664302242604071</v>
      </c>
      <c r="H16" s="573">
        <v>26779.1</v>
      </c>
      <c r="I16" s="528">
        <f>'GAL OGLIASTRA_GAL SARCIDANO'!U24</f>
        <v>1278872.8500000001</v>
      </c>
      <c r="J16" s="440">
        <f t="shared" si="2"/>
        <v>1305651.9500000002</v>
      </c>
      <c r="K16" s="441">
        <f t="shared" si="3"/>
        <v>0.25786724867527494</v>
      </c>
    </row>
    <row r="17" spans="1:11" x14ac:dyDescent="0.25">
      <c r="A17" s="435">
        <v>13</v>
      </c>
      <c r="B17" s="436">
        <v>4177713.8851237358</v>
      </c>
      <c r="C17" s="525">
        <v>299954.44</v>
      </c>
      <c r="D17" s="528">
        <v>299954.44</v>
      </c>
      <c r="E17" s="528">
        <f>'GAL OGLIASTRA_GAL SARCIDANO'!N41</f>
        <v>2657248.08</v>
      </c>
      <c r="F17" s="440">
        <f t="shared" si="0"/>
        <v>2957202.52</v>
      </c>
      <c r="G17" s="441">
        <f t="shared" si="1"/>
        <v>0.70785185422347641</v>
      </c>
      <c r="H17" s="573"/>
      <c r="I17" s="528">
        <f>'GAL OGLIASTRA_GAL SARCIDANO'!U41</f>
        <v>670574.88</v>
      </c>
      <c r="J17" s="440">
        <f t="shared" si="2"/>
        <v>670574.88</v>
      </c>
      <c r="K17" s="441">
        <f t="shared" si="3"/>
        <v>0.16051239946991699</v>
      </c>
    </row>
    <row r="18" spans="1:11" x14ac:dyDescent="0.25">
      <c r="A18" s="435">
        <v>14</v>
      </c>
      <c r="B18" s="436">
        <v>4717532.2256672727</v>
      </c>
      <c r="C18" s="525">
        <v>500000</v>
      </c>
      <c r="D18" s="528">
        <v>500000</v>
      </c>
      <c r="E18" s="528">
        <f>'GAL SGT_GAL SINIS'!N19</f>
        <v>4058088.8900000006</v>
      </c>
      <c r="F18" s="440">
        <f t="shared" si="0"/>
        <v>4558088.8900000006</v>
      </c>
      <c r="G18" s="441">
        <f t="shared" si="1"/>
        <v>0.96620196152561111</v>
      </c>
      <c r="H18" s="573"/>
      <c r="I18" s="528">
        <f>'GAL SGT_GAL SINIS'!U19</f>
        <v>1535042.5599999998</v>
      </c>
      <c r="J18" s="440">
        <f t="shared" si="2"/>
        <v>1535042.5599999998</v>
      </c>
      <c r="K18" s="441">
        <f t="shared" si="3"/>
        <v>0.32539100668949333</v>
      </c>
    </row>
    <row r="19" spans="1:11" x14ac:dyDescent="0.25">
      <c r="A19" s="435">
        <v>15</v>
      </c>
      <c r="B19" s="436">
        <v>3457564.7352025989</v>
      </c>
      <c r="C19" s="525">
        <v>741752.60000000009</v>
      </c>
      <c r="D19" s="528">
        <v>1004752.6000000001</v>
      </c>
      <c r="E19" s="528">
        <f>'GAL SGT_GAL SINIS'!N40</f>
        <v>2610213.6800000002</v>
      </c>
      <c r="F19" s="440">
        <f t="shared" si="0"/>
        <v>3614966.2800000003</v>
      </c>
      <c r="G19" s="441">
        <f t="shared" si="1"/>
        <v>1.0455238171522414</v>
      </c>
      <c r="H19" s="573">
        <v>393568.86000000004</v>
      </c>
      <c r="I19" s="528">
        <f>'GAL SGT_GAL SINIS'!U40</f>
        <v>515395.67000000004</v>
      </c>
      <c r="J19" s="440">
        <f t="shared" si="2"/>
        <v>908964.53</v>
      </c>
      <c r="K19" s="441">
        <f t="shared" si="3"/>
        <v>0.2628915435033029</v>
      </c>
    </row>
    <row r="20" spans="1:11" x14ac:dyDescent="0.25">
      <c r="A20" s="435">
        <v>16</v>
      </c>
      <c r="B20" s="436">
        <v>6722892.4869419495</v>
      </c>
      <c r="C20" s="525">
        <v>545253.6</v>
      </c>
      <c r="D20" s="528">
        <v>545253.6</v>
      </c>
      <c r="E20" s="528">
        <f>'GAL SULCIS_GAL TERRAS DE OLIA'!N17</f>
        <v>5351184.6899999995</v>
      </c>
      <c r="F20" s="440">
        <f t="shared" si="0"/>
        <v>5896438.2899999991</v>
      </c>
      <c r="G20" s="441">
        <f t="shared" si="1"/>
        <v>0.87706865779168797</v>
      </c>
      <c r="H20" s="573">
        <v>184549.19</v>
      </c>
      <c r="I20" s="528">
        <f>'GAL SULCIS_GAL TERRAS DE OLIA'!U17</f>
        <v>596829.58000000007</v>
      </c>
      <c r="J20" s="440">
        <f t="shared" si="2"/>
        <v>781378.77</v>
      </c>
      <c r="K20" s="441">
        <f t="shared" si="3"/>
        <v>0.1162265753197292</v>
      </c>
    </row>
    <row r="21" spans="1:11" x14ac:dyDescent="0.25">
      <c r="A21" s="435">
        <v>17</v>
      </c>
      <c r="B21" s="436">
        <v>4313513.5080657313</v>
      </c>
      <c r="C21" s="525">
        <v>100000</v>
      </c>
      <c r="D21" s="528">
        <v>120984</v>
      </c>
      <c r="E21" s="528">
        <f>'GAL SULCIS_GAL TERRAS DE OLIA'!N41</f>
        <v>4419614.1900000004</v>
      </c>
      <c r="F21" s="440">
        <f t="shared" si="0"/>
        <v>4540598.1900000004</v>
      </c>
      <c r="G21" s="441">
        <f>F21/B21</f>
        <v>1.0526449451264379</v>
      </c>
      <c r="H21" s="573"/>
      <c r="I21" s="528">
        <f>'GAL SULCIS_GAL TERRAS DE OLIA'!U41</f>
        <v>1594540.03</v>
      </c>
      <c r="J21" s="440">
        <f t="shared" si="2"/>
        <v>1594540.03</v>
      </c>
      <c r="K21" s="441">
        <f t="shared" si="3"/>
        <v>0.36966153624380899</v>
      </c>
    </row>
    <row r="22" spans="1:11" x14ac:dyDescent="0.25">
      <c r="A22" s="19" t="s">
        <v>128</v>
      </c>
      <c r="B22" s="428">
        <f t="shared" ref="B22" si="4">SUM(B5:B21)</f>
        <v>78729496.424594223</v>
      </c>
      <c r="C22" s="527">
        <f>SUM(C5:C21)</f>
        <v>6962967.4600000009</v>
      </c>
      <c r="D22" s="442">
        <f>SUM(D5:D21)</f>
        <v>7602693.4399999995</v>
      </c>
      <c r="E22" s="442">
        <f t="shared" ref="E22:F22" si="5">SUM(E5:E21)</f>
        <v>62498496.50999999</v>
      </c>
      <c r="F22" s="442">
        <f t="shared" si="5"/>
        <v>70101189.950000003</v>
      </c>
      <c r="G22" s="443">
        <f>F22/B22</f>
        <v>0.89040566920355868</v>
      </c>
      <c r="H22" s="442">
        <f>SUM(H5:H21)</f>
        <v>1143804.25</v>
      </c>
      <c r="I22" s="442">
        <f>SUM(I5:I21)-206999.51</f>
        <v>19047940.949999999</v>
      </c>
      <c r="J22" s="442">
        <f>SUM(J5:J21)-53000</f>
        <v>20345744.710000005</v>
      </c>
      <c r="K22" s="443">
        <f>J22/B22</f>
        <v>0.2584259475035105</v>
      </c>
    </row>
    <row r="23" spans="1:11" ht="36.6" customHeight="1" x14ac:dyDescent="0.25">
      <c r="A23" s="1140" t="s">
        <v>734</v>
      </c>
      <c r="B23" s="1140"/>
      <c r="C23" s="1140"/>
      <c r="D23" s="1140"/>
      <c r="E23" s="1140"/>
      <c r="F23" s="1140"/>
      <c r="G23" s="1140"/>
      <c r="H23" s="1140"/>
      <c r="I23" s="1140"/>
      <c r="J23" s="1140"/>
      <c r="K23" s="1140"/>
    </row>
  </sheetData>
  <mergeCells count="2">
    <mergeCell ref="A1:K1"/>
    <mergeCell ref="A23:K23"/>
  </mergeCells>
  <pageMargins left="0.7" right="0.7" top="0.75" bottom="0.75" header="0.3" footer="0.3"/>
  <pageSetup paperSize="9" scale="6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A14"/>
  <sheetViews>
    <sheetView view="pageBreakPreview" topLeftCell="A7" zoomScaleNormal="100" zoomScaleSheetLayoutView="100" workbookViewId="0">
      <selection activeCell="X15" sqref="X15"/>
    </sheetView>
  </sheetViews>
  <sheetFormatPr defaultRowHeight="15" x14ac:dyDescent="0.25"/>
  <cols>
    <col min="1" max="1" width="7.85546875" customWidth="1"/>
    <col min="2" max="2" width="15.7109375" customWidth="1"/>
    <col min="3" max="3" width="5.140625" customWidth="1"/>
    <col min="4" max="4" width="9.7109375" customWidth="1"/>
    <col min="5" max="5" width="9.140625" customWidth="1"/>
    <col min="6" max="6" width="3.140625" bestFit="1" customWidth="1"/>
    <col min="8" max="8" width="3.140625" bestFit="1" customWidth="1"/>
    <col min="9" max="9" width="4.5703125" bestFit="1" customWidth="1"/>
    <col min="10" max="10" width="3.140625" bestFit="1" customWidth="1"/>
    <col min="12" max="12" width="3.7109375" customWidth="1"/>
    <col min="13" max="13" width="3.140625" bestFit="1" customWidth="1"/>
    <col min="15" max="15" width="3.140625" bestFit="1" customWidth="1"/>
    <col min="16" max="16" width="6.42578125" bestFit="1" customWidth="1"/>
    <col min="17" max="17" width="9.5703125" customWidth="1"/>
    <col min="18" max="18" width="3.28515625" customWidth="1"/>
    <col min="19" max="19" width="8.28515625" customWidth="1"/>
    <col min="20" max="20" width="4.140625" customWidth="1"/>
    <col min="21" max="21" width="7.5703125" customWidth="1"/>
    <col min="22" max="22" width="10" bestFit="1" customWidth="1"/>
    <col min="23" max="23" width="16.28515625" customWidth="1"/>
  </cols>
  <sheetData>
    <row r="1" spans="1:27" s="12" customFormat="1" ht="11.25" x14ac:dyDescent="0.2">
      <c r="A1" s="1149" t="s">
        <v>646</v>
      </c>
      <c r="B1" s="1149"/>
      <c r="C1" s="1150"/>
      <c r="D1" s="1149"/>
      <c r="E1" s="1149"/>
      <c r="F1" s="1149"/>
      <c r="G1" s="1149"/>
      <c r="H1" s="1150"/>
      <c r="I1" s="1150"/>
      <c r="J1" s="1149"/>
      <c r="K1" s="1149"/>
      <c r="L1" s="1149"/>
      <c r="M1" s="1149"/>
      <c r="N1" s="1149"/>
      <c r="O1" s="1149"/>
      <c r="P1" s="1149"/>
      <c r="Q1" s="1149"/>
      <c r="R1" s="1149"/>
      <c r="S1" s="1149"/>
      <c r="T1" s="1149"/>
      <c r="U1" s="1149"/>
      <c r="W1" s="96"/>
    </row>
    <row r="2" spans="1:27" s="12" customFormat="1"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V2" s="96"/>
      <c r="W2" s="96"/>
    </row>
    <row r="3" spans="1:27" s="12" customFormat="1"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V3" s="96"/>
      <c r="W3" s="96"/>
    </row>
    <row r="4" spans="1:27" s="12" customFormat="1"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V4" s="96"/>
      <c r="W4" s="96"/>
    </row>
    <row r="5" spans="1:27" s="12" customFormat="1" ht="21.75"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V5" s="96"/>
      <c r="W5" s="96"/>
    </row>
    <row r="6" spans="1:27" s="96" customFormat="1" ht="56.25" x14ac:dyDescent="0.2">
      <c r="A6" s="382" t="s">
        <v>541</v>
      </c>
      <c r="B6" s="383" t="s">
        <v>324</v>
      </c>
      <c r="C6" s="381">
        <v>50221</v>
      </c>
      <c r="D6" s="374">
        <v>342211.46</v>
      </c>
      <c r="E6" s="367">
        <v>44407</v>
      </c>
      <c r="F6" s="366">
        <v>8</v>
      </c>
      <c r="G6" s="366">
        <v>394124.97</v>
      </c>
      <c r="H6" s="366">
        <v>0</v>
      </c>
      <c r="I6" s="366">
        <v>0</v>
      </c>
      <c r="J6" s="366">
        <v>7</v>
      </c>
      <c r="K6" s="366">
        <v>342211.45</v>
      </c>
      <c r="L6" s="366">
        <v>7</v>
      </c>
      <c r="M6" s="366">
        <v>7</v>
      </c>
      <c r="N6" s="366">
        <v>342211.45</v>
      </c>
      <c r="O6" s="366">
        <v>1</v>
      </c>
      <c r="P6" s="366">
        <v>50000</v>
      </c>
      <c r="Q6" s="391">
        <f>K6-N6</f>
        <v>0</v>
      </c>
      <c r="R6" s="366">
        <v>6</v>
      </c>
      <c r="S6" s="366">
        <v>233477.47</v>
      </c>
      <c r="T6" s="366">
        <v>5</v>
      </c>
      <c r="U6" s="366">
        <v>208017.49</v>
      </c>
      <c r="V6" s="259"/>
    </row>
    <row r="7" spans="1:27" s="96" customFormat="1" ht="56.25" x14ac:dyDescent="0.2">
      <c r="A7" s="382" t="s">
        <v>242</v>
      </c>
      <c r="B7" s="383" t="s">
        <v>325</v>
      </c>
      <c r="C7" s="381">
        <v>48963</v>
      </c>
      <c r="D7" s="374">
        <v>615000</v>
      </c>
      <c r="E7" s="367">
        <v>44267</v>
      </c>
      <c r="F7" s="366">
        <v>18</v>
      </c>
      <c r="G7" s="366">
        <v>738000</v>
      </c>
      <c r="H7" s="366">
        <v>0</v>
      </c>
      <c r="I7" s="366">
        <v>0</v>
      </c>
      <c r="J7" s="366">
        <v>15</v>
      </c>
      <c r="K7" s="366">
        <v>615000</v>
      </c>
      <c r="L7" s="366">
        <v>15</v>
      </c>
      <c r="M7" s="366">
        <v>15</v>
      </c>
      <c r="N7" s="366">
        <v>615000</v>
      </c>
      <c r="O7" s="366">
        <v>1</v>
      </c>
      <c r="P7" s="366">
        <v>41000</v>
      </c>
      <c r="Q7" s="391">
        <f t="shared" ref="Q7:Q11" si="0">K7-N7</f>
        <v>0</v>
      </c>
      <c r="R7" s="366">
        <v>21</v>
      </c>
      <c r="S7" s="366">
        <v>536400</v>
      </c>
      <c r="T7" s="366">
        <v>19</v>
      </c>
      <c r="U7" s="366">
        <v>495400</v>
      </c>
    </row>
    <row r="8" spans="1:27" s="96" customFormat="1" ht="56.25" x14ac:dyDescent="0.2">
      <c r="A8" s="382" t="s">
        <v>540</v>
      </c>
      <c r="B8" s="383" t="s">
        <v>373</v>
      </c>
      <c r="C8" s="381">
        <v>51822</v>
      </c>
      <c r="D8" s="374">
        <v>103091.44</v>
      </c>
      <c r="E8" s="367">
        <v>44407</v>
      </c>
      <c r="F8" s="366">
        <v>4</v>
      </c>
      <c r="G8" s="366">
        <v>141836.84</v>
      </c>
      <c r="H8" s="366">
        <v>0</v>
      </c>
      <c r="I8" s="366">
        <v>0</v>
      </c>
      <c r="J8" s="366">
        <v>3</v>
      </c>
      <c r="K8" s="366">
        <v>103091.44</v>
      </c>
      <c r="L8" s="366">
        <v>3</v>
      </c>
      <c r="M8" s="366">
        <v>3</v>
      </c>
      <c r="N8" s="366">
        <v>103091.44</v>
      </c>
      <c r="O8" s="366">
        <v>1</v>
      </c>
      <c r="P8" s="366">
        <v>38745</v>
      </c>
      <c r="Q8" s="391">
        <f t="shared" si="0"/>
        <v>0</v>
      </c>
      <c r="R8" s="366">
        <v>2</v>
      </c>
      <c r="S8" s="366">
        <v>62999.34</v>
      </c>
      <c r="T8" s="366">
        <v>2</v>
      </c>
      <c r="U8" s="366">
        <v>62969.770000000004</v>
      </c>
    </row>
    <row r="9" spans="1:27" s="96" customFormat="1" ht="67.5" x14ac:dyDescent="0.2">
      <c r="A9" s="382" t="s">
        <v>540</v>
      </c>
      <c r="B9" s="383" t="s">
        <v>372</v>
      </c>
      <c r="C9" s="381">
        <v>51804</v>
      </c>
      <c r="D9" s="374">
        <v>1636411.71</v>
      </c>
      <c r="E9" s="367">
        <v>44407</v>
      </c>
      <c r="F9" s="366">
        <v>35</v>
      </c>
      <c r="G9" s="366">
        <v>1735911.71</v>
      </c>
      <c r="H9" s="366">
        <v>0</v>
      </c>
      <c r="I9" s="366">
        <v>0</v>
      </c>
      <c r="J9" s="366">
        <v>33</v>
      </c>
      <c r="K9" s="366">
        <v>1623266.58</v>
      </c>
      <c r="L9" s="366">
        <v>33</v>
      </c>
      <c r="M9" s="366">
        <v>33</v>
      </c>
      <c r="N9" s="366">
        <v>1623266.58</v>
      </c>
      <c r="O9" s="366">
        <v>2</v>
      </c>
      <c r="P9" s="366">
        <v>99500</v>
      </c>
      <c r="Q9" s="391">
        <f>K9-N9</f>
        <v>0</v>
      </c>
      <c r="R9" s="366">
        <v>38</v>
      </c>
      <c r="S9" s="366">
        <v>1274796.4800000002</v>
      </c>
      <c r="T9" s="366">
        <v>26</v>
      </c>
      <c r="U9" s="366">
        <v>883183.48999999987</v>
      </c>
    </row>
    <row r="10" spans="1:27" s="96" customFormat="1" ht="67.5" x14ac:dyDescent="0.2">
      <c r="A10" s="382" t="s">
        <v>245</v>
      </c>
      <c r="B10" s="371" t="s">
        <v>467</v>
      </c>
      <c r="C10" s="381">
        <v>67701</v>
      </c>
      <c r="D10" s="375">
        <v>599317.88</v>
      </c>
      <c r="E10" s="367">
        <v>44914</v>
      </c>
      <c r="F10" s="366">
        <v>6</v>
      </c>
      <c r="G10" s="366">
        <v>709291.45</v>
      </c>
      <c r="H10" s="366">
        <v>0</v>
      </c>
      <c r="I10" s="366">
        <v>0</v>
      </c>
      <c r="J10" s="366">
        <v>5</v>
      </c>
      <c r="K10" s="375">
        <v>643624.35</v>
      </c>
      <c r="L10" s="366">
        <v>5</v>
      </c>
      <c r="M10" s="366">
        <v>5</v>
      </c>
      <c r="N10" s="366">
        <v>643624.35</v>
      </c>
      <c r="O10" s="366">
        <v>1</v>
      </c>
      <c r="P10" s="366">
        <v>26177.08</v>
      </c>
      <c r="Q10" s="391">
        <f t="shared" si="0"/>
        <v>0</v>
      </c>
      <c r="R10" s="366">
        <v>0</v>
      </c>
      <c r="S10" s="366">
        <v>0</v>
      </c>
      <c r="T10" s="366">
        <v>0</v>
      </c>
      <c r="U10" s="366">
        <v>0</v>
      </c>
    </row>
    <row r="11" spans="1:27" s="96" customFormat="1" ht="78.75" x14ac:dyDescent="0.2">
      <c r="A11" s="382" t="s">
        <v>275</v>
      </c>
      <c r="B11" s="380" t="s">
        <v>552</v>
      </c>
      <c r="C11" s="381">
        <v>72452</v>
      </c>
      <c r="D11" s="374">
        <v>744079.99</v>
      </c>
      <c r="E11" s="385">
        <v>45206</v>
      </c>
      <c r="F11" s="366">
        <v>10</v>
      </c>
      <c r="G11" s="366">
        <v>597801.61</v>
      </c>
      <c r="H11" s="366">
        <v>0</v>
      </c>
      <c r="I11" s="366">
        <v>0</v>
      </c>
      <c r="J11" s="366">
        <v>9</v>
      </c>
      <c r="K11" s="366">
        <v>482473.54</v>
      </c>
      <c r="L11" s="366">
        <v>9</v>
      </c>
      <c r="M11" s="366">
        <v>9</v>
      </c>
      <c r="N11" s="366">
        <v>482473.55</v>
      </c>
      <c r="O11" s="366">
        <v>1</v>
      </c>
      <c r="P11" s="366">
        <v>69995.399999999994</v>
      </c>
      <c r="Q11" s="391">
        <f t="shared" si="0"/>
        <v>-1.0000000009313226E-2</v>
      </c>
      <c r="R11" s="366">
        <v>4</v>
      </c>
      <c r="S11" s="366">
        <v>115753.38</v>
      </c>
      <c r="T11" s="366">
        <v>3</v>
      </c>
      <c r="U11" s="366">
        <v>86020</v>
      </c>
    </row>
    <row r="12" spans="1:27" s="12" customFormat="1" ht="11.25" x14ac:dyDescent="0.2">
      <c r="A12" s="19" t="s">
        <v>1</v>
      </c>
      <c r="B12" s="19"/>
      <c r="C12" s="60"/>
      <c r="D12" s="20">
        <f>SUM(D6:D11)</f>
        <v>4040112.4799999995</v>
      </c>
      <c r="E12" s="20"/>
      <c r="F12" s="20">
        <f>SUM(F6:F11)</f>
        <v>81</v>
      </c>
      <c r="G12" s="20">
        <f t="shared" ref="G12:U12" si="1">SUM(G6:G11)</f>
        <v>4316966.58</v>
      </c>
      <c r="H12" s="20">
        <f t="shared" si="1"/>
        <v>0</v>
      </c>
      <c r="I12" s="20">
        <f t="shared" si="1"/>
        <v>0</v>
      </c>
      <c r="J12" s="20">
        <f t="shared" si="1"/>
        <v>72</v>
      </c>
      <c r="K12" s="20">
        <f t="shared" si="1"/>
        <v>3809667.36</v>
      </c>
      <c r="L12" s="20">
        <f t="shared" si="1"/>
        <v>72</v>
      </c>
      <c r="M12" s="20">
        <f t="shared" si="1"/>
        <v>72</v>
      </c>
      <c r="N12" s="20">
        <f t="shared" si="1"/>
        <v>3809667.3699999996</v>
      </c>
      <c r="O12" s="20">
        <f t="shared" si="1"/>
        <v>7</v>
      </c>
      <c r="P12" s="20">
        <f t="shared" si="1"/>
        <v>325417.48</v>
      </c>
      <c r="Q12" s="20">
        <f t="shared" si="1"/>
        <v>-1.0000000009313226E-2</v>
      </c>
      <c r="R12" s="20">
        <f t="shared" si="1"/>
        <v>71</v>
      </c>
      <c r="S12" s="20">
        <f t="shared" si="1"/>
        <v>2223426.67</v>
      </c>
      <c r="T12" s="530">
        <f t="shared" si="1"/>
        <v>55</v>
      </c>
      <c r="U12" s="530">
        <f t="shared" si="1"/>
        <v>1735590.75</v>
      </c>
      <c r="W12" s="96"/>
    </row>
    <row r="13" spans="1:27" ht="15" customHeight="1" x14ac:dyDescent="0.25">
      <c r="A13" s="219" t="s">
        <v>390</v>
      </c>
      <c r="B13" s="140"/>
      <c r="C13" s="140"/>
      <c r="D13" s="140"/>
      <c r="E13" s="140"/>
      <c r="F13" s="140"/>
      <c r="G13" s="140"/>
      <c r="H13" s="140"/>
      <c r="I13" s="140"/>
      <c r="J13" s="140"/>
      <c r="K13" s="140"/>
      <c r="L13" s="140"/>
      <c r="M13" s="140"/>
      <c r="N13" s="140"/>
      <c r="O13" s="140"/>
      <c r="P13" s="140"/>
      <c r="Q13" s="140"/>
      <c r="R13" s="140"/>
    </row>
    <row r="14" spans="1:27" s="215" customFormat="1" ht="35.450000000000003" customHeight="1" x14ac:dyDescent="0.25">
      <c r="A14" s="1148" t="s">
        <v>732</v>
      </c>
      <c r="B14" s="1148"/>
      <c r="C14" s="1148"/>
      <c r="D14" s="1148"/>
      <c r="E14" s="1148"/>
      <c r="F14" s="1148"/>
      <c r="G14" s="1148"/>
      <c r="H14" s="1148"/>
      <c r="I14" s="1148"/>
      <c r="J14" s="1148"/>
      <c r="K14" s="1148"/>
      <c r="L14" s="1148"/>
      <c r="M14" s="1148"/>
      <c r="N14" s="1148"/>
      <c r="O14" s="1148"/>
      <c r="P14" s="1148"/>
      <c r="Q14" s="1148"/>
      <c r="R14" s="1148"/>
      <c r="S14" s="1148"/>
      <c r="T14" s="1148"/>
      <c r="U14" s="1148"/>
      <c r="V14" s="424"/>
      <c r="W14" s="424"/>
      <c r="X14" s="424"/>
      <c r="Y14" s="424"/>
      <c r="Z14" s="424"/>
      <c r="AA14" s="424"/>
    </row>
  </sheetData>
  <mergeCells count="18">
    <mergeCell ref="L4:L5"/>
    <mergeCell ref="M4:N4"/>
    <mergeCell ref="A14:U14"/>
    <mergeCell ref="H2:I4"/>
    <mergeCell ref="A1:U1"/>
    <mergeCell ref="A2:A5"/>
    <mergeCell ref="B2:B5"/>
    <mergeCell ref="C2:C5"/>
    <mergeCell ref="D2:D5"/>
    <mergeCell ref="E2:E5"/>
    <mergeCell ref="F2:G4"/>
    <mergeCell ref="J2:K4"/>
    <mergeCell ref="L2:P2"/>
    <mergeCell ref="Q2:Q4"/>
    <mergeCell ref="R2:S4"/>
    <mergeCell ref="T2:U4"/>
    <mergeCell ref="L3:N3"/>
    <mergeCell ref="O3:P4"/>
  </mergeCells>
  <pageMargins left="0.7" right="0.7" top="0.75" bottom="0.75" header="0.3" footer="0.3"/>
  <pageSetup paperSize="9" scale="9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Z36"/>
  <sheetViews>
    <sheetView view="pageBreakPreview" zoomScaleNormal="100" zoomScaleSheetLayoutView="100" workbookViewId="0">
      <selection activeCell="T32" sqref="T32:U33"/>
    </sheetView>
  </sheetViews>
  <sheetFormatPr defaultColWidth="8.7109375" defaultRowHeight="11.25" x14ac:dyDescent="0.2"/>
  <cols>
    <col min="1" max="1" width="5.5703125" style="12" customWidth="1"/>
    <col min="2" max="2" width="17.5703125" style="12" customWidth="1"/>
    <col min="3" max="3" width="5.5703125" style="12" customWidth="1"/>
    <col min="4" max="4" width="8.85546875" style="12" customWidth="1"/>
    <col min="5" max="5" width="8.7109375" style="12"/>
    <col min="6" max="6" width="4.140625" style="12" customWidth="1"/>
    <col min="7" max="7" width="8.7109375" style="12" customWidth="1"/>
    <col min="8" max="8" width="3.140625" style="12" bestFit="1" customWidth="1"/>
    <col min="9" max="9" width="6.85546875" style="12" customWidth="1"/>
    <col min="10" max="10" width="3.140625" style="12" bestFit="1" customWidth="1"/>
    <col min="11" max="11" width="9.28515625" style="12" customWidth="1"/>
    <col min="12" max="13" width="3.140625" style="12" bestFit="1" customWidth="1"/>
    <col min="14" max="14" width="8.7109375" style="12"/>
    <col min="15" max="15" width="3.140625" style="12" bestFit="1" customWidth="1"/>
    <col min="16" max="16" width="7.5703125" style="12" customWidth="1"/>
    <col min="17" max="17" width="8.7109375" style="12" customWidth="1"/>
    <col min="18" max="18" width="3.140625" style="12" bestFit="1" customWidth="1"/>
    <col min="19" max="19" width="8.7109375" style="12"/>
    <col min="20" max="20" width="3.140625" style="12" bestFit="1" customWidth="1"/>
    <col min="21" max="21" width="8.7109375" style="12"/>
    <col min="22" max="22" width="8.7109375" style="96"/>
    <col min="23" max="16384" width="8.7109375" style="12"/>
  </cols>
  <sheetData>
    <row r="1" spans="1:26" x14ac:dyDescent="0.2">
      <c r="A1" s="1149" t="s">
        <v>647</v>
      </c>
      <c r="B1" s="1149"/>
      <c r="C1" s="1150"/>
      <c r="D1" s="1149"/>
      <c r="E1" s="1149"/>
      <c r="F1" s="1149"/>
      <c r="G1" s="1149"/>
      <c r="H1" s="1150"/>
      <c r="I1" s="1150"/>
      <c r="J1" s="1149"/>
      <c r="K1" s="1149"/>
      <c r="L1" s="1149"/>
      <c r="M1" s="1149"/>
      <c r="N1" s="1149"/>
      <c r="O1" s="1149"/>
      <c r="P1" s="1149"/>
      <c r="Q1" s="1149"/>
      <c r="R1" s="1149"/>
      <c r="S1" s="1149"/>
      <c r="T1" s="1149"/>
      <c r="U1" s="1149"/>
    </row>
    <row r="2" spans="1:26"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W2" s="96"/>
    </row>
    <row r="3" spans="1:26"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W3" s="96"/>
    </row>
    <row r="4" spans="1:26"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W4" s="96"/>
    </row>
    <row r="5" spans="1:26" ht="21.75"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W5" s="96"/>
    </row>
    <row r="6" spans="1:26" s="96" customFormat="1" ht="22.5" x14ac:dyDescent="0.2">
      <c r="A6" s="1" t="s">
        <v>238</v>
      </c>
      <c r="B6" s="250" t="s">
        <v>239</v>
      </c>
      <c r="C6" s="152">
        <v>19241</v>
      </c>
      <c r="D6" s="466">
        <v>389069.74000000005</v>
      </c>
      <c r="E6" s="153">
        <v>43444</v>
      </c>
      <c r="F6" s="444">
        <v>7</v>
      </c>
      <c r="G6" s="391">
        <v>540001</v>
      </c>
      <c r="H6" s="366">
        <v>0</v>
      </c>
      <c r="I6" s="366">
        <v>0</v>
      </c>
      <c r="J6" s="437">
        <v>7</v>
      </c>
      <c r="K6" s="391">
        <v>467130.35999999993</v>
      </c>
      <c r="L6" s="366">
        <v>7</v>
      </c>
      <c r="M6" s="366">
        <v>7</v>
      </c>
      <c r="N6" s="391">
        <v>467130.35999999993</v>
      </c>
      <c r="O6" s="366">
        <v>0</v>
      </c>
      <c r="P6" s="366">
        <v>0</v>
      </c>
      <c r="Q6" s="391">
        <f t="shared" ref="Q6:Q18" si="0">K6-N6</f>
        <v>0</v>
      </c>
      <c r="R6" s="366">
        <v>7</v>
      </c>
      <c r="S6" s="366">
        <v>389811.49</v>
      </c>
      <c r="T6" s="366">
        <v>7</v>
      </c>
      <c r="U6" s="366">
        <v>389069.74000000005</v>
      </c>
    </row>
    <row r="7" spans="1:26" s="96" customFormat="1" ht="56.25" x14ac:dyDescent="0.2">
      <c r="A7" s="1" t="s">
        <v>484</v>
      </c>
      <c r="B7" s="250" t="s">
        <v>240</v>
      </c>
      <c r="C7" s="152">
        <v>25782</v>
      </c>
      <c r="D7" s="466">
        <v>194408.02</v>
      </c>
      <c r="E7" s="153">
        <v>43614</v>
      </c>
      <c r="F7" s="391">
        <v>1</v>
      </c>
      <c r="G7" s="391">
        <v>200555.72</v>
      </c>
      <c r="H7" s="366">
        <v>0</v>
      </c>
      <c r="I7" s="366">
        <v>0</v>
      </c>
      <c r="J7" s="445">
        <v>1</v>
      </c>
      <c r="K7" s="376">
        <v>194408.02</v>
      </c>
      <c r="L7" s="366">
        <v>1</v>
      </c>
      <c r="M7" s="366">
        <v>1</v>
      </c>
      <c r="N7" s="376">
        <v>194408.02</v>
      </c>
      <c r="O7" s="366">
        <v>0</v>
      </c>
      <c r="P7" s="366">
        <v>0</v>
      </c>
      <c r="Q7" s="391">
        <f t="shared" si="0"/>
        <v>0</v>
      </c>
      <c r="R7" s="366">
        <v>3</v>
      </c>
      <c r="S7" s="366">
        <v>179820.14</v>
      </c>
      <c r="T7" s="366">
        <v>3</v>
      </c>
      <c r="U7" s="366">
        <v>175310.94</v>
      </c>
    </row>
    <row r="8" spans="1:26" s="96" customFormat="1" ht="45" x14ac:dyDescent="0.2">
      <c r="A8" s="195" t="s">
        <v>242</v>
      </c>
      <c r="B8" s="250" t="s">
        <v>425</v>
      </c>
      <c r="C8" s="152">
        <v>36943</v>
      </c>
      <c r="D8" s="466">
        <v>280000</v>
      </c>
      <c r="E8" s="153">
        <v>43843</v>
      </c>
      <c r="F8" s="391">
        <v>8</v>
      </c>
      <c r="G8" s="391">
        <v>280000</v>
      </c>
      <c r="H8" s="366">
        <v>0</v>
      </c>
      <c r="I8" s="366">
        <v>0</v>
      </c>
      <c r="J8" s="445">
        <v>8</v>
      </c>
      <c r="K8" s="391">
        <v>280000</v>
      </c>
      <c r="L8" s="366">
        <v>8</v>
      </c>
      <c r="M8" s="391">
        <v>8</v>
      </c>
      <c r="N8" s="391">
        <v>280000</v>
      </c>
      <c r="O8" s="366">
        <v>0</v>
      </c>
      <c r="P8" s="366">
        <v>0</v>
      </c>
      <c r="Q8" s="391">
        <f t="shared" si="0"/>
        <v>0</v>
      </c>
      <c r="R8" s="366">
        <v>16</v>
      </c>
      <c r="S8" s="366">
        <v>280000</v>
      </c>
      <c r="T8" s="366">
        <v>15</v>
      </c>
      <c r="U8" s="366">
        <v>269500</v>
      </c>
    </row>
    <row r="9" spans="1:26" s="96" customFormat="1" ht="33.75" x14ac:dyDescent="0.2">
      <c r="A9" s="382" t="s">
        <v>540</v>
      </c>
      <c r="B9" s="250" t="s">
        <v>426</v>
      </c>
      <c r="C9" s="152">
        <v>37121</v>
      </c>
      <c r="D9" s="466">
        <v>111377.68</v>
      </c>
      <c r="E9" s="153">
        <v>43843</v>
      </c>
      <c r="F9" s="391">
        <v>7</v>
      </c>
      <c r="G9" s="391">
        <v>172640.31</v>
      </c>
      <c r="H9" s="366">
        <v>0</v>
      </c>
      <c r="I9" s="366">
        <v>0</v>
      </c>
      <c r="J9" s="446">
        <v>5</v>
      </c>
      <c r="K9" s="376">
        <v>126207.87</v>
      </c>
      <c r="L9" s="366">
        <v>5</v>
      </c>
      <c r="M9" s="366">
        <v>5</v>
      </c>
      <c r="N9" s="376">
        <v>126207.87</v>
      </c>
      <c r="O9" s="366">
        <v>2</v>
      </c>
      <c r="P9" s="366">
        <v>37998</v>
      </c>
      <c r="Q9" s="391">
        <f t="shared" si="0"/>
        <v>0</v>
      </c>
      <c r="R9" s="366">
        <v>7</v>
      </c>
      <c r="S9" s="366">
        <v>111375.84</v>
      </c>
      <c r="T9" s="366">
        <v>7</v>
      </c>
      <c r="U9" s="366">
        <v>111375.59999999999</v>
      </c>
    </row>
    <row r="10" spans="1:26" s="96" customFormat="1" ht="22.5" x14ac:dyDescent="0.2">
      <c r="A10" s="195" t="s">
        <v>484</v>
      </c>
      <c r="B10" s="250" t="s">
        <v>333</v>
      </c>
      <c r="C10" s="152">
        <v>47983</v>
      </c>
      <c r="D10" s="466">
        <v>42853.57</v>
      </c>
      <c r="E10" s="153">
        <v>44245</v>
      </c>
      <c r="F10" s="366">
        <v>1</v>
      </c>
      <c r="G10" s="366">
        <v>45000</v>
      </c>
      <c r="H10" s="366">
        <v>0</v>
      </c>
      <c r="I10" s="366">
        <v>0</v>
      </c>
      <c r="J10" s="447">
        <v>1</v>
      </c>
      <c r="K10" s="376">
        <v>44908.62</v>
      </c>
      <c r="L10" s="366">
        <v>1</v>
      </c>
      <c r="M10" s="366">
        <v>1</v>
      </c>
      <c r="N10" s="366">
        <v>44908.62</v>
      </c>
      <c r="O10" s="366">
        <v>0</v>
      </c>
      <c r="P10" s="366">
        <v>0</v>
      </c>
      <c r="Q10" s="391">
        <f t="shared" si="0"/>
        <v>0</v>
      </c>
      <c r="R10" s="366">
        <v>2</v>
      </c>
      <c r="S10" s="366">
        <v>44894.34</v>
      </c>
      <c r="T10" s="366">
        <v>2</v>
      </c>
      <c r="U10" s="366">
        <v>42853.57</v>
      </c>
    </row>
    <row r="11" spans="1:26" s="96" customFormat="1" ht="56.25" x14ac:dyDescent="0.2">
      <c r="A11" s="1" t="s">
        <v>484</v>
      </c>
      <c r="B11" s="250" t="s">
        <v>240</v>
      </c>
      <c r="C11" s="152">
        <v>53003</v>
      </c>
      <c r="D11" s="466">
        <v>159285</v>
      </c>
      <c r="E11" s="153">
        <v>44496</v>
      </c>
      <c r="F11" s="366">
        <v>1</v>
      </c>
      <c r="G11" s="366">
        <v>160000</v>
      </c>
      <c r="H11" s="366">
        <v>0</v>
      </c>
      <c r="I11" s="366">
        <v>0</v>
      </c>
      <c r="J11" s="447">
        <v>1</v>
      </c>
      <c r="K11" s="376">
        <v>159285</v>
      </c>
      <c r="L11" s="366">
        <v>1</v>
      </c>
      <c r="M11" s="366">
        <v>1</v>
      </c>
      <c r="N11" s="366">
        <v>159285</v>
      </c>
      <c r="O11" s="366">
        <v>0</v>
      </c>
      <c r="P11" s="366">
        <v>0</v>
      </c>
      <c r="Q11" s="391">
        <f t="shared" si="0"/>
        <v>0</v>
      </c>
      <c r="R11" s="366">
        <v>1</v>
      </c>
      <c r="S11" s="366">
        <v>93758</v>
      </c>
      <c r="T11" s="366">
        <v>1</v>
      </c>
      <c r="U11" s="366">
        <v>93392.65</v>
      </c>
    </row>
    <row r="12" spans="1:26" s="96" customFormat="1" ht="30.6" customHeight="1" x14ac:dyDescent="0.2">
      <c r="A12" s="195" t="s">
        <v>242</v>
      </c>
      <c r="B12" s="251" t="s">
        <v>427</v>
      </c>
      <c r="C12" s="152">
        <v>60203</v>
      </c>
      <c r="D12" s="466">
        <v>315000</v>
      </c>
      <c r="E12" s="153">
        <v>44651</v>
      </c>
      <c r="F12" s="366">
        <v>12</v>
      </c>
      <c r="G12" s="366">
        <v>420000</v>
      </c>
      <c r="H12" s="366">
        <v>0</v>
      </c>
      <c r="I12" s="366">
        <v>0</v>
      </c>
      <c r="J12" s="447">
        <v>10</v>
      </c>
      <c r="K12" s="376">
        <v>350000</v>
      </c>
      <c r="L12" s="366">
        <v>10</v>
      </c>
      <c r="M12" s="366">
        <v>10</v>
      </c>
      <c r="N12" s="366">
        <v>350000</v>
      </c>
      <c r="O12" s="366">
        <v>2</v>
      </c>
      <c r="P12" s="366">
        <v>70000</v>
      </c>
      <c r="Q12" s="391">
        <f t="shared" si="0"/>
        <v>0</v>
      </c>
      <c r="R12" s="366">
        <v>18</v>
      </c>
      <c r="S12" s="366">
        <v>315000</v>
      </c>
      <c r="T12" s="366">
        <v>18</v>
      </c>
      <c r="U12" s="366">
        <v>315000</v>
      </c>
      <c r="W12" s="242"/>
      <c r="X12" s="243"/>
      <c r="Y12" s="244"/>
      <c r="Z12" s="245"/>
    </row>
    <row r="13" spans="1:26" s="96" customFormat="1" ht="45" x14ac:dyDescent="0.2">
      <c r="A13" s="382" t="s">
        <v>540</v>
      </c>
      <c r="B13" s="251" t="s">
        <v>469</v>
      </c>
      <c r="C13" s="152">
        <v>60861</v>
      </c>
      <c r="D13" s="466">
        <v>319449.98</v>
      </c>
      <c r="E13" s="153">
        <v>44651</v>
      </c>
      <c r="F13" s="366">
        <v>13</v>
      </c>
      <c r="G13" s="366">
        <v>394599.03</v>
      </c>
      <c r="H13" s="366">
        <v>0</v>
      </c>
      <c r="I13" s="366">
        <v>0</v>
      </c>
      <c r="J13" s="447">
        <v>11</v>
      </c>
      <c r="K13" s="376">
        <v>319449.98</v>
      </c>
      <c r="L13" s="366">
        <v>11</v>
      </c>
      <c r="M13" s="366">
        <v>11</v>
      </c>
      <c r="N13" s="366">
        <v>319449.98</v>
      </c>
      <c r="O13" s="366">
        <v>2</v>
      </c>
      <c r="P13" s="366">
        <v>68749.5</v>
      </c>
      <c r="Q13" s="391">
        <f t="shared" si="0"/>
        <v>0</v>
      </c>
      <c r="R13" s="366">
        <v>10</v>
      </c>
      <c r="S13" s="366">
        <v>249884.58</v>
      </c>
      <c r="T13" s="366">
        <v>8</v>
      </c>
      <c r="U13" s="366">
        <v>203287.75</v>
      </c>
      <c r="W13" s="242"/>
      <c r="X13" s="243"/>
      <c r="Y13" s="244"/>
      <c r="Z13" s="245"/>
    </row>
    <row r="14" spans="1:26" s="96" customFormat="1" ht="56.25" x14ac:dyDescent="0.2">
      <c r="A14" s="195" t="s">
        <v>151</v>
      </c>
      <c r="B14" s="250" t="s">
        <v>424</v>
      </c>
      <c r="C14" s="152">
        <v>69945</v>
      </c>
      <c r="D14" s="466">
        <v>200000</v>
      </c>
      <c r="E14" s="153">
        <v>44651</v>
      </c>
      <c r="F14" s="366">
        <v>1</v>
      </c>
      <c r="G14" s="366">
        <v>200000</v>
      </c>
      <c r="H14" s="366">
        <v>0</v>
      </c>
      <c r="I14" s="366">
        <v>0</v>
      </c>
      <c r="J14" s="366">
        <v>1</v>
      </c>
      <c r="K14" s="366">
        <v>200000</v>
      </c>
      <c r="L14" s="366">
        <v>1</v>
      </c>
      <c r="M14" s="366">
        <v>1</v>
      </c>
      <c r="N14" s="366">
        <v>200000</v>
      </c>
      <c r="O14" s="366">
        <v>0</v>
      </c>
      <c r="P14" s="366">
        <v>0</v>
      </c>
      <c r="Q14" s="391">
        <f t="shared" si="0"/>
        <v>0</v>
      </c>
      <c r="R14" s="366">
        <v>1</v>
      </c>
      <c r="S14" s="366">
        <v>62000</v>
      </c>
      <c r="T14" s="366">
        <v>0</v>
      </c>
      <c r="U14" s="366">
        <v>0</v>
      </c>
      <c r="W14" s="242"/>
      <c r="X14" s="243"/>
      <c r="Y14" s="244"/>
      <c r="Z14" s="245"/>
    </row>
    <row r="15" spans="1:26" s="96" customFormat="1" ht="33.75" x14ac:dyDescent="0.2">
      <c r="A15" s="271" t="s">
        <v>238</v>
      </c>
      <c r="B15" s="246" t="s">
        <v>562</v>
      </c>
      <c r="C15" s="152">
        <v>74183</v>
      </c>
      <c r="D15" s="524">
        <v>697966</v>
      </c>
      <c r="E15" s="187">
        <v>45122</v>
      </c>
      <c r="F15" s="366">
        <v>7</v>
      </c>
      <c r="G15" s="366">
        <v>697966</v>
      </c>
      <c r="H15" s="366">
        <v>0</v>
      </c>
      <c r="I15" s="366">
        <v>0</v>
      </c>
      <c r="J15" s="366">
        <v>7</v>
      </c>
      <c r="K15" s="366">
        <v>677813.06</v>
      </c>
      <c r="L15" s="366">
        <v>7</v>
      </c>
      <c r="M15" s="366">
        <v>7</v>
      </c>
      <c r="N15" s="366">
        <v>677813.06</v>
      </c>
      <c r="O15" s="366">
        <v>0</v>
      </c>
      <c r="P15" s="366">
        <v>0</v>
      </c>
      <c r="Q15" s="391">
        <f t="shared" si="0"/>
        <v>0</v>
      </c>
      <c r="R15" s="366">
        <v>6</v>
      </c>
      <c r="S15" s="366">
        <v>583072.56000000006</v>
      </c>
      <c r="T15" s="366">
        <v>0</v>
      </c>
      <c r="U15" s="366">
        <v>0</v>
      </c>
      <c r="W15" s="345"/>
      <c r="X15" s="346"/>
      <c r="Y15" s="347"/>
      <c r="Z15" s="348"/>
    </row>
    <row r="16" spans="1:26" s="96" customFormat="1" ht="22.5" x14ac:dyDescent="0.2">
      <c r="A16" s="271" t="s">
        <v>484</v>
      </c>
      <c r="B16" s="246" t="s">
        <v>333</v>
      </c>
      <c r="C16" s="152">
        <v>74223</v>
      </c>
      <c r="D16" s="524">
        <v>103182.91</v>
      </c>
      <c r="E16" s="187">
        <v>45122</v>
      </c>
      <c r="F16" s="366">
        <v>1</v>
      </c>
      <c r="G16" s="366">
        <v>103182.91</v>
      </c>
      <c r="H16" s="366">
        <v>0</v>
      </c>
      <c r="I16" s="366">
        <v>0</v>
      </c>
      <c r="J16" s="366">
        <v>1</v>
      </c>
      <c r="K16" s="366">
        <v>103181.13</v>
      </c>
      <c r="L16" s="366">
        <v>1</v>
      </c>
      <c r="M16" s="366">
        <v>1</v>
      </c>
      <c r="N16" s="366">
        <v>103181.13</v>
      </c>
      <c r="O16" s="366">
        <v>0</v>
      </c>
      <c r="P16" s="366">
        <v>0</v>
      </c>
      <c r="Q16" s="391">
        <f t="shared" si="0"/>
        <v>0</v>
      </c>
      <c r="R16" s="366">
        <v>1</v>
      </c>
      <c r="S16" s="366">
        <v>45081.21</v>
      </c>
      <c r="T16" s="366">
        <v>1</v>
      </c>
      <c r="U16" s="366">
        <v>45061.21</v>
      </c>
      <c r="W16" s="345"/>
      <c r="X16" s="346"/>
      <c r="Y16" s="347"/>
      <c r="Z16" s="348"/>
    </row>
    <row r="17" spans="1:26" s="96" customFormat="1" ht="45" x14ac:dyDescent="0.2">
      <c r="A17" s="382" t="s">
        <v>275</v>
      </c>
      <c r="B17" s="380" t="s">
        <v>428</v>
      </c>
      <c r="C17" s="381">
        <v>75641</v>
      </c>
      <c r="D17" s="524">
        <v>341238.83999999997</v>
      </c>
      <c r="E17" s="385">
        <v>45229</v>
      </c>
      <c r="F17" s="366">
        <v>9</v>
      </c>
      <c r="G17" s="366">
        <v>341238.83999999997</v>
      </c>
      <c r="H17" s="366">
        <v>0</v>
      </c>
      <c r="I17" s="366">
        <v>0</v>
      </c>
      <c r="J17" s="366">
        <v>9</v>
      </c>
      <c r="K17" s="366">
        <v>310709.57</v>
      </c>
      <c r="L17" s="366">
        <v>9</v>
      </c>
      <c r="M17" s="366">
        <v>8</v>
      </c>
      <c r="N17" s="366">
        <v>285042.77</v>
      </c>
      <c r="O17" s="366">
        <v>0</v>
      </c>
      <c r="P17" s="366">
        <v>0</v>
      </c>
      <c r="Q17" s="391">
        <f t="shared" si="0"/>
        <v>25666.799999999988</v>
      </c>
      <c r="R17" s="366">
        <v>3</v>
      </c>
      <c r="S17" s="366">
        <v>40086.129999999997</v>
      </c>
      <c r="T17" s="366">
        <v>1</v>
      </c>
      <c r="U17" s="366">
        <v>21639.759999999998</v>
      </c>
      <c r="W17" s="345"/>
      <c r="X17" s="346"/>
      <c r="Y17" s="347"/>
      <c r="Z17" s="348"/>
    </row>
    <row r="18" spans="1:26" s="96" customFormat="1" ht="33.75" x14ac:dyDescent="0.2">
      <c r="A18" s="382" t="s">
        <v>540</v>
      </c>
      <c r="B18" s="380" t="s">
        <v>426</v>
      </c>
      <c r="C18" s="381">
        <v>76844</v>
      </c>
      <c r="D18" s="384">
        <v>948709.89</v>
      </c>
      <c r="E18" s="385">
        <v>45350.999988425923</v>
      </c>
      <c r="F18" s="366">
        <v>39</v>
      </c>
      <c r="G18" s="366">
        <v>1597612.3800000001</v>
      </c>
      <c r="H18" s="366">
        <v>0</v>
      </c>
      <c r="I18" s="366">
        <v>0</v>
      </c>
      <c r="J18" s="447">
        <v>31</v>
      </c>
      <c r="K18" s="384">
        <v>1256280.76</v>
      </c>
      <c r="L18" s="366">
        <v>31</v>
      </c>
      <c r="M18" s="366">
        <v>31</v>
      </c>
      <c r="N18" s="366">
        <v>1256280.76</v>
      </c>
      <c r="O18" s="366">
        <v>8</v>
      </c>
      <c r="P18" s="366">
        <v>273279.3</v>
      </c>
      <c r="Q18" s="391">
        <f t="shared" si="0"/>
        <v>0</v>
      </c>
      <c r="R18" s="366">
        <v>23</v>
      </c>
      <c r="S18" s="366">
        <v>883636.03</v>
      </c>
      <c r="T18" s="366">
        <v>3</v>
      </c>
      <c r="U18" s="366">
        <v>92750</v>
      </c>
      <c r="W18" s="345"/>
      <c r="X18" s="346"/>
      <c r="Y18" s="347"/>
      <c r="Z18" s="348"/>
    </row>
    <row r="19" spans="1:26" ht="22.5" x14ac:dyDescent="0.2">
      <c r="A19" s="19" t="s">
        <v>1</v>
      </c>
      <c r="B19" s="19"/>
      <c r="C19" s="60"/>
      <c r="D19" s="20">
        <f>SUM(D6:D18)</f>
        <v>4102541.63</v>
      </c>
      <c r="E19" s="20"/>
      <c r="F19" s="20">
        <f t="shared" ref="F19:T19" si="1">SUM(F6:F18)</f>
        <v>107</v>
      </c>
      <c r="G19" s="20">
        <f t="shared" si="1"/>
        <v>5152796.1900000004</v>
      </c>
      <c r="H19" s="20">
        <f t="shared" si="1"/>
        <v>0</v>
      </c>
      <c r="I19" s="20">
        <f t="shared" si="1"/>
        <v>0</v>
      </c>
      <c r="J19" s="20">
        <f t="shared" si="1"/>
        <v>93</v>
      </c>
      <c r="K19" s="20">
        <f t="shared" si="1"/>
        <v>4489374.37</v>
      </c>
      <c r="L19" s="20">
        <f t="shared" si="1"/>
        <v>93</v>
      </c>
      <c r="M19" s="20">
        <f t="shared" si="1"/>
        <v>92</v>
      </c>
      <c r="N19" s="20">
        <f t="shared" si="1"/>
        <v>4463707.57</v>
      </c>
      <c r="O19" s="20">
        <f t="shared" si="1"/>
        <v>14</v>
      </c>
      <c r="P19" s="20">
        <f t="shared" si="1"/>
        <v>450026.8</v>
      </c>
      <c r="Q19" s="20">
        <f t="shared" si="1"/>
        <v>25666.799999999988</v>
      </c>
      <c r="R19" s="20">
        <f t="shared" si="1"/>
        <v>98</v>
      </c>
      <c r="S19" s="20">
        <f>SUM(S6:S18)</f>
        <v>3278420.3200000003</v>
      </c>
      <c r="T19" s="530">
        <f t="shared" si="1"/>
        <v>66</v>
      </c>
      <c r="U19" s="530">
        <f>SUM(U6:U18)</f>
        <v>1759241.22</v>
      </c>
    </row>
    <row r="20" spans="1:26" customFormat="1" ht="15" customHeight="1" x14ac:dyDescent="0.25">
      <c r="A20" s="219" t="s">
        <v>390</v>
      </c>
      <c r="B20" s="140"/>
      <c r="C20" s="140"/>
      <c r="D20" s="140"/>
      <c r="E20" s="140"/>
      <c r="F20" s="140"/>
      <c r="G20" s="140"/>
      <c r="H20" s="140"/>
      <c r="I20" s="140"/>
      <c r="J20" s="140"/>
      <c r="K20" s="140"/>
      <c r="L20" s="140"/>
      <c r="M20" s="140"/>
      <c r="N20" s="140"/>
      <c r="O20" s="140"/>
      <c r="P20" s="140"/>
      <c r="Q20" s="140"/>
      <c r="R20" s="140"/>
    </row>
    <row r="21" spans="1:26" s="23" customFormat="1" ht="34.15" customHeight="1" x14ac:dyDescent="0.25">
      <c r="A21" s="1148" t="s">
        <v>732</v>
      </c>
      <c r="B21" s="1148"/>
      <c r="C21" s="1148"/>
      <c r="D21" s="1148"/>
      <c r="E21" s="1148"/>
      <c r="F21" s="1148"/>
      <c r="G21" s="1148"/>
      <c r="H21" s="1148"/>
      <c r="I21" s="1148"/>
      <c r="J21" s="1148"/>
      <c r="K21" s="1148"/>
      <c r="L21" s="1148"/>
      <c r="M21" s="1148"/>
      <c r="N21" s="1148"/>
      <c r="O21" s="1148"/>
      <c r="P21" s="1148"/>
      <c r="Q21" s="1148"/>
      <c r="R21" s="1148"/>
      <c r="S21" s="1148"/>
      <c r="T21" s="1148"/>
      <c r="U21" s="1148"/>
      <c r="V21" s="90"/>
      <c r="W21" s="90"/>
    </row>
    <row r="22" spans="1:26" ht="19.899999999999999" customHeight="1" x14ac:dyDescent="0.2">
      <c r="A22" s="1149" t="s">
        <v>648</v>
      </c>
      <c r="B22" s="1149"/>
      <c r="C22" s="1150"/>
      <c r="D22" s="1149"/>
      <c r="E22" s="1149"/>
      <c r="F22" s="1149"/>
      <c r="G22" s="1149"/>
      <c r="H22" s="1150"/>
      <c r="I22" s="1150"/>
      <c r="J22" s="1149"/>
      <c r="K22" s="1149"/>
      <c r="L22" s="1149"/>
      <c r="M22" s="1149"/>
      <c r="N22" s="1149"/>
      <c r="O22" s="1149"/>
      <c r="P22" s="1149"/>
      <c r="Q22" s="1149"/>
      <c r="R22" s="1149"/>
      <c r="S22" s="1149"/>
      <c r="T22" s="1149"/>
      <c r="U22" s="1149"/>
    </row>
    <row r="23" spans="1:26" ht="20.25" customHeight="1" x14ac:dyDescent="0.2">
      <c r="A23" s="966" t="s">
        <v>248</v>
      </c>
      <c r="B23" s="966" t="s">
        <v>156</v>
      </c>
      <c r="C23" s="966" t="s">
        <v>282</v>
      </c>
      <c r="D23" s="966" t="s">
        <v>157</v>
      </c>
      <c r="E23" s="966" t="s">
        <v>158</v>
      </c>
      <c r="F23" s="997" t="s">
        <v>337</v>
      </c>
      <c r="G23" s="998"/>
      <c r="H23" s="997" t="s">
        <v>277</v>
      </c>
      <c r="I23" s="998"/>
      <c r="J23" s="997" t="s">
        <v>159</v>
      </c>
      <c r="K23" s="998"/>
      <c r="L23" s="976" t="s">
        <v>717</v>
      </c>
      <c r="M23" s="977"/>
      <c r="N23" s="977"/>
      <c r="O23" s="977"/>
      <c r="P23" s="978"/>
      <c r="Q23" s="966" t="s">
        <v>250</v>
      </c>
      <c r="R23" s="969" t="s">
        <v>718</v>
      </c>
      <c r="S23" s="970"/>
      <c r="T23" s="969" t="s">
        <v>719</v>
      </c>
      <c r="U23" s="970"/>
      <c r="W23" s="96"/>
    </row>
    <row r="24" spans="1:26" ht="10.15" customHeight="1" x14ac:dyDescent="0.2">
      <c r="A24" s="967"/>
      <c r="B24" s="967"/>
      <c r="C24" s="967"/>
      <c r="D24" s="967"/>
      <c r="E24" s="967"/>
      <c r="F24" s="971"/>
      <c r="G24" s="972"/>
      <c r="H24" s="971"/>
      <c r="I24" s="972"/>
      <c r="J24" s="971"/>
      <c r="K24" s="972"/>
      <c r="L24" s="1143" t="s">
        <v>160</v>
      </c>
      <c r="M24" s="977"/>
      <c r="N24" s="978"/>
      <c r="O24" s="997" t="s">
        <v>631</v>
      </c>
      <c r="P24" s="998"/>
      <c r="Q24" s="967"/>
      <c r="R24" s="971"/>
      <c r="S24" s="972"/>
      <c r="T24" s="971"/>
      <c r="U24" s="972"/>
      <c r="W24" s="96"/>
    </row>
    <row r="25" spans="1:26" ht="21" customHeight="1" x14ac:dyDescent="0.2">
      <c r="A25" s="967"/>
      <c r="B25" s="967"/>
      <c r="C25" s="967"/>
      <c r="D25" s="967"/>
      <c r="E25" s="967"/>
      <c r="F25" s="973"/>
      <c r="G25" s="974"/>
      <c r="H25" s="973"/>
      <c r="I25" s="974"/>
      <c r="J25" s="973"/>
      <c r="K25" s="974"/>
      <c r="L25" s="979" t="s">
        <v>161</v>
      </c>
      <c r="M25" s="1143" t="s">
        <v>247</v>
      </c>
      <c r="N25" s="978"/>
      <c r="O25" s="973"/>
      <c r="P25" s="974"/>
      <c r="Q25" s="975"/>
      <c r="R25" s="973"/>
      <c r="S25" s="974"/>
      <c r="T25" s="973"/>
      <c r="U25" s="974"/>
      <c r="W25" s="96"/>
    </row>
    <row r="26" spans="1:26" ht="21.75" x14ac:dyDescent="0.2">
      <c r="A26" s="975"/>
      <c r="B26" s="975"/>
      <c r="C26" s="975"/>
      <c r="D26" s="975"/>
      <c r="E26" s="975"/>
      <c r="F26" s="127" t="s">
        <v>161</v>
      </c>
      <c r="G26" s="128" t="s">
        <v>162</v>
      </c>
      <c r="H26" s="15" t="s">
        <v>161</v>
      </c>
      <c r="I26" s="16" t="s">
        <v>162</v>
      </c>
      <c r="J26" s="127" t="s">
        <v>161</v>
      </c>
      <c r="K26" s="128" t="s">
        <v>162</v>
      </c>
      <c r="L26" s="1142"/>
      <c r="M26" s="160" t="s">
        <v>161</v>
      </c>
      <c r="N26" s="130" t="s">
        <v>162</v>
      </c>
      <c r="O26" s="160" t="s">
        <v>161</v>
      </c>
      <c r="P26" s="130" t="s">
        <v>162</v>
      </c>
      <c r="Q26" s="16" t="s">
        <v>162</v>
      </c>
      <c r="R26" s="15" t="s">
        <v>161</v>
      </c>
      <c r="S26" s="16" t="s">
        <v>162</v>
      </c>
      <c r="T26" s="78" t="s">
        <v>161</v>
      </c>
      <c r="U26" s="79" t="s">
        <v>162</v>
      </c>
      <c r="W26" s="96"/>
    </row>
    <row r="27" spans="1:26" s="96" customFormat="1" ht="33.75" x14ac:dyDescent="0.2">
      <c r="A27" s="1" t="s">
        <v>540</v>
      </c>
      <c r="B27" s="248" t="s">
        <v>262</v>
      </c>
      <c r="C27" s="152">
        <v>36625</v>
      </c>
      <c r="D27" s="468">
        <v>525000</v>
      </c>
      <c r="E27" s="187">
        <v>43889</v>
      </c>
      <c r="F27" s="366">
        <v>8</v>
      </c>
      <c r="G27" s="366">
        <v>496068.45</v>
      </c>
      <c r="H27" s="366">
        <v>0</v>
      </c>
      <c r="I27" s="366">
        <v>0</v>
      </c>
      <c r="J27" s="366">
        <v>6</v>
      </c>
      <c r="K27" s="376">
        <v>400453.68000000005</v>
      </c>
      <c r="L27" s="366">
        <v>6</v>
      </c>
      <c r="M27" s="366">
        <v>6</v>
      </c>
      <c r="N27" s="366">
        <v>400453.68000000005</v>
      </c>
      <c r="O27" s="366">
        <v>2</v>
      </c>
      <c r="P27" s="366">
        <v>87500</v>
      </c>
      <c r="Q27" s="391">
        <f>K27-N27</f>
        <v>0</v>
      </c>
      <c r="R27" s="366">
        <v>9</v>
      </c>
      <c r="S27" s="366">
        <v>333126.39</v>
      </c>
      <c r="T27" s="366">
        <v>8</v>
      </c>
      <c r="U27" s="366">
        <v>299822.41000000003</v>
      </c>
    </row>
    <row r="28" spans="1:26" s="96" customFormat="1" ht="45" x14ac:dyDescent="0.2">
      <c r="A28" s="195" t="s">
        <v>540</v>
      </c>
      <c r="B28" s="248" t="s">
        <v>303</v>
      </c>
      <c r="C28" s="152">
        <v>36664</v>
      </c>
      <c r="D28" s="468">
        <v>724017</v>
      </c>
      <c r="E28" s="187">
        <v>43889</v>
      </c>
      <c r="F28" s="366">
        <v>15</v>
      </c>
      <c r="G28" s="366">
        <v>976233.32</v>
      </c>
      <c r="H28" s="366">
        <v>0</v>
      </c>
      <c r="I28" s="366">
        <v>0</v>
      </c>
      <c r="J28" s="366">
        <v>12</v>
      </c>
      <c r="K28" s="398">
        <v>724017</v>
      </c>
      <c r="L28" s="366">
        <v>8</v>
      </c>
      <c r="M28" s="366">
        <v>8</v>
      </c>
      <c r="N28" s="366">
        <v>532739.35000000009</v>
      </c>
      <c r="O28" s="366">
        <v>3</v>
      </c>
      <c r="P28" s="366">
        <v>161000</v>
      </c>
      <c r="Q28" s="391">
        <f>K28-N28</f>
        <v>191277.64999999991</v>
      </c>
      <c r="R28" s="366">
        <v>11</v>
      </c>
      <c r="S28" s="366">
        <v>413206.54000000004</v>
      </c>
      <c r="T28" s="366">
        <v>9</v>
      </c>
      <c r="U28" s="366">
        <v>297182</v>
      </c>
      <c r="V28" s="339"/>
    </row>
    <row r="29" spans="1:26" s="96" customFormat="1" ht="67.5" x14ac:dyDescent="0.2">
      <c r="A29" s="195" t="s">
        <v>55</v>
      </c>
      <c r="B29" s="249" t="s">
        <v>488</v>
      </c>
      <c r="C29" s="152">
        <v>54462</v>
      </c>
      <c r="D29" s="102">
        <v>100000</v>
      </c>
      <c r="E29" s="153">
        <v>44925</v>
      </c>
      <c r="F29" s="366">
        <v>1</v>
      </c>
      <c r="G29" s="366">
        <v>100000</v>
      </c>
      <c r="H29" s="366">
        <v>0</v>
      </c>
      <c r="I29" s="366">
        <v>0</v>
      </c>
      <c r="J29" s="366">
        <v>1</v>
      </c>
      <c r="K29" s="366">
        <v>100000</v>
      </c>
      <c r="L29" s="366">
        <v>0</v>
      </c>
      <c r="M29" s="366">
        <v>0</v>
      </c>
      <c r="N29" s="366">
        <v>0</v>
      </c>
      <c r="O29" s="366">
        <v>0</v>
      </c>
      <c r="P29" s="366">
        <v>0</v>
      </c>
      <c r="Q29" s="391">
        <f>K29-N29</f>
        <v>100000</v>
      </c>
      <c r="R29" s="366">
        <v>0</v>
      </c>
      <c r="S29" s="366">
        <v>0</v>
      </c>
      <c r="T29" s="366">
        <v>0</v>
      </c>
      <c r="U29" s="366">
        <v>0</v>
      </c>
    </row>
    <row r="30" spans="1:26" s="96" customFormat="1" ht="67.5" x14ac:dyDescent="0.2">
      <c r="A30" s="195" t="s">
        <v>55</v>
      </c>
      <c r="B30" s="249" t="s">
        <v>485</v>
      </c>
      <c r="C30" s="152">
        <v>60447</v>
      </c>
      <c r="D30" s="102">
        <v>360000</v>
      </c>
      <c r="E30" s="153">
        <v>44926</v>
      </c>
      <c r="F30" s="366">
        <v>3</v>
      </c>
      <c r="G30" s="366">
        <v>360000</v>
      </c>
      <c r="H30" s="366">
        <v>0</v>
      </c>
      <c r="I30" s="366">
        <v>0</v>
      </c>
      <c r="J30" s="366">
        <v>3</v>
      </c>
      <c r="K30" s="366">
        <v>360000</v>
      </c>
      <c r="L30" s="366">
        <v>0</v>
      </c>
      <c r="M30" s="366">
        <v>0</v>
      </c>
      <c r="N30" s="366">
        <v>0</v>
      </c>
      <c r="O30" s="366">
        <v>0</v>
      </c>
      <c r="P30" s="366">
        <v>0</v>
      </c>
      <c r="Q30" s="391">
        <f>K30-N30</f>
        <v>360000</v>
      </c>
      <c r="R30" s="366">
        <v>0</v>
      </c>
      <c r="S30" s="366">
        <v>0</v>
      </c>
      <c r="T30" s="366">
        <v>0</v>
      </c>
      <c r="U30" s="366">
        <v>0</v>
      </c>
    </row>
    <row r="31" spans="1:26" s="96" customFormat="1" ht="25.9" customHeight="1" x14ac:dyDescent="0.2">
      <c r="A31" s="299" t="s">
        <v>365</v>
      </c>
      <c r="B31" s="372" t="s">
        <v>523</v>
      </c>
      <c r="C31" s="152">
        <v>67426</v>
      </c>
      <c r="D31" s="523">
        <v>280600.58</v>
      </c>
      <c r="E31" s="153">
        <v>44865</v>
      </c>
      <c r="F31" s="366">
        <v>1</v>
      </c>
      <c r="G31" s="366">
        <v>70000</v>
      </c>
      <c r="H31" s="366">
        <v>0</v>
      </c>
      <c r="I31" s="366">
        <v>0</v>
      </c>
      <c r="J31" s="366">
        <v>1</v>
      </c>
      <c r="K31" s="366">
        <v>70000</v>
      </c>
      <c r="L31" s="366">
        <v>1</v>
      </c>
      <c r="M31" s="366">
        <v>1</v>
      </c>
      <c r="N31" s="366">
        <v>70000</v>
      </c>
      <c r="O31" s="366">
        <v>0</v>
      </c>
      <c r="P31" s="366">
        <v>0</v>
      </c>
      <c r="Q31" s="391">
        <f>K31-N31</f>
        <v>0</v>
      </c>
      <c r="R31" s="366">
        <v>2</v>
      </c>
      <c r="S31" s="366">
        <v>70000</v>
      </c>
      <c r="T31" s="366">
        <v>1</v>
      </c>
      <c r="U31" s="366">
        <v>35500</v>
      </c>
    </row>
    <row r="32" spans="1:26" s="96" customFormat="1" ht="25.9" customHeight="1" x14ac:dyDescent="0.2">
      <c r="A32" s="382" t="s">
        <v>540</v>
      </c>
      <c r="B32" s="380" t="s">
        <v>453</v>
      </c>
      <c r="C32" s="381">
        <v>77142</v>
      </c>
      <c r="D32" s="523">
        <v>210000</v>
      </c>
      <c r="E32" s="385">
        <v>45376</v>
      </c>
      <c r="F32" s="366">
        <v>9</v>
      </c>
      <c r="G32" s="366">
        <v>587515.72</v>
      </c>
      <c r="H32" s="366">
        <v>0</v>
      </c>
      <c r="I32" s="366">
        <v>0</v>
      </c>
      <c r="J32" s="366">
        <v>9</v>
      </c>
      <c r="K32" s="366">
        <v>582443.42000000004</v>
      </c>
      <c r="L32" s="366">
        <v>9</v>
      </c>
      <c r="M32" s="366">
        <v>9</v>
      </c>
      <c r="N32" s="366">
        <v>582443.42000000004</v>
      </c>
      <c r="O32" s="366">
        <v>0</v>
      </c>
      <c r="P32" s="366">
        <v>0</v>
      </c>
      <c r="Q32" s="391">
        <f t="shared" ref="Q32:Q33" si="2">K32-N32</f>
        <v>0</v>
      </c>
      <c r="R32" s="366">
        <v>6</v>
      </c>
      <c r="S32" s="366">
        <v>227171.4</v>
      </c>
      <c r="T32" s="366">
        <v>2</v>
      </c>
      <c r="U32" s="366">
        <v>68250</v>
      </c>
    </row>
    <row r="33" spans="1:23" s="96" customFormat="1" ht="33" customHeight="1" x14ac:dyDescent="0.2">
      <c r="A33" s="382" t="s">
        <v>242</v>
      </c>
      <c r="B33" s="383" t="s">
        <v>458</v>
      </c>
      <c r="C33" s="381">
        <v>80328</v>
      </c>
      <c r="D33" s="373">
        <v>300000</v>
      </c>
      <c r="E33" s="385">
        <v>45460</v>
      </c>
      <c r="F33" s="366">
        <v>19</v>
      </c>
      <c r="G33" s="366">
        <v>950000</v>
      </c>
      <c r="H33" s="366">
        <v>0</v>
      </c>
      <c r="I33" s="366">
        <v>0</v>
      </c>
      <c r="J33" s="366">
        <v>18</v>
      </c>
      <c r="K33" s="366">
        <v>900000</v>
      </c>
      <c r="L33" s="366">
        <v>18</v>
      </c>
      <c r="M33" s="366">
        <v>15</v>
      </c>
      <c r="N33" s="366">
        <v>750000</v>
      </c>
      <c r="O33" s="366">
        <v>1</v>
      </c>
      <c r="P33" s="366">
        <v>50000</v>
      </c>
      <c r="Q33" s="391">
        <f t="shared" si="2"/>
        <v>150000</v>
      </c>
      <c r="R33" s="366">
        <v>16</v>
      </c>
      <c r="S33" s="366">
        <v>535000</v>
      </c>
      <c r="T33" s="366">
        <v>10</v>
      </c>
      <c r="U33" s="366">
        <v>350000</v>
      </c>
    </row>
    <row r="34" spans="1:23" ht="22.5" x14ac:dyDescent="0.2">
      <c r="A34" s="19" t="s">
        <v>1</v>
      </c>
      <c r="B34" s="19"/>
      <c r="C34" s="60"/>
      <c r="D34" s="20">
        <f>SUM(D27:D33)</f>
        <v>2499617.58</v>
      </c>
      <c r="E34" s="20"/>
      <c r="F34" s="20">
        <f>SUM(F27:F33)</f>
        <v>56</v>
      </c>
      <c r="G34" s="20">
        <f t="shared" ref="G34:U34" si="3">SUM(G27:G33)</f>
        <v>3539817.49</v>
      </c>
      <c r="H34" s="20">
        <f t="shared" si="3"/>
        <v>0</v>
      </c>
      <c r="I34" s="20">
        <f t="shared" si="3"/>
        <v>0</v>
      </c>
      <c r="J34" s="20">
        <f t="shared" si="3"/>
        <v>50</v>
      </c>
      <c r="K34" s="20">
        <f t="shared" si="3"/>
        <v>3136914.1</v>
      </c>
      <c r="L34" s="20">
        <f t="shared" si="3"/>
        <v>42</v>
      </c>
      <c r="M34" s="20">
        <f t="shared" si="3"/>
        <v>39</v>
      </c>
      <c r="N34" s="20">
        <f t="shared" si="3"/>
        <v>2335636.4500000002</v>
      </c>
      <c r="O34" s="20">
        <f t="shared" si="3"/>
        <v>6</v>
      </c>
      <c r="P34" s="20">
        <f t="shared" si="3"/>
        <v>298500</v>
      </c>
      <c r="Q34" s="20">
        <f t="shared" si="3"/>
        <v>801277.64999999991</v>
      </c>
      <c r="R34" s="20">
        <f t="shared" si="3"/>
        <v>44</v>
      </c>
      <c r="S34" s="20">
        <f t="shared" si="3"/>
        <v>1578504.33</v>
      </c>
      <c r="T34" s="530">
        <f t="shared" si="3"/>
        <v>30</v>
      </c>
      <c r="U34" s="530">
        <f t="shared" si="3"/>
        <v>1050754.4100000001</v>
      </c>
    </row>
    <row r="35" spans="1:23" customFormat="1" ht="15" customHeight="1" x14ac:dyDescent="0.25">
      <c r="A35" s="219" t="s">
        <v>390</v>
      </c>
      <c r="B35" s="140"/>
      <c r="C35" s="140"/>
      <c r="D35" s="140"/>
      <c r="E35" s="140"/>
      <c r="F35" s="140"/>
      <c r="G35" s="140"/>
      <c r="H35" s="140"/>
      <c r="I35" s="140"/>
      <c r="J35" s="140"/>
      <c r="K35" s="140"/>
      <c r="L35" s="140"/>
      <c r="M35" s="140"/>
      <c r="N35" s="140"/>
      <c r="O35" s="140"/>
      <c r="P35" s="140"/>
      <c r="Q35" s="140"/>
      <c r="R35" s="140"/>
    </row>
    <row r="36" spans="1:23" s="23" customFormat="1" ht="24.6" customHeight="1" x14ac:dyDescent="0.25">
      <c r="A36" s="1148" t="s">
        <v>732</v>
      </c>
      <c r="B36" s="1148"/>
      <c r="C36" s="1148"/>
      <c r="D36" s="1148"/>
      <c r="E36" s="1148"/>
      <c r="F36" s="1148"/>
      <c r="G36" s="1148"/>
      <c r="H36" s="1148"/>
      <c r="I36" s="1148"/>
      <c r="J36" s="1148"/>
      <c r="K36" s="1148"/>
      <c r="L36" s="1148"/>
      <c r="M36" s="1148"/>
      <c r="N36" s="1148"/>
      <c r="O36" s="1148"/>
      <c r="P36" s="1148"/>
      <c r="Q36" s="1148"/>
      <c r="R36" s="1148"/>
      <c r="S36" s="1148"/>
      <c r="T36" s="1148"/>
      <c r="U36" s="1148"/>
      <c r="V36" s="90"/>
      <c r="W36" s="90"/>
    </row>
  </sheetData>
  <mergeCells count="36">
    <mergeCell ref="A1:U1"/>
    <mergeCell ref="A2:A5"/>
    <mergeCell ref="B2:B5"/>
    <mergeCell ref="D2:D5"/>
    <mergeCell ref="E2:E5"/>
    <mergeCell ref="F2:G4"/>
    <mergeCell ref="J2:K4"/>
    <mergeCell ref="L2:P2"/>
    <mergeCell ref="Q2:Q4"/>
    <mergeCell ref="R2:S4"/>
    <mergeCell ref="T2:U4"/>
    <mergeCell ref="L3:N3"/>
    <mergeCell ref="H2:I4"/>
    <mergeCell ref="C2:C5"/>
    <mergeCell ref="O3:P4"/>
    <mergeCell ref="M4:N4"/>
    <mergeCell ref="L4:L5"/>
    <mergeCell ref="A22:U22"/>
    <mergeCell ref="J23:K25"/>
    <mergeCell ref="L23:P23"/>
    <mergeCell ref="Q23:Q25"/>
    <mergeCell ref="R23:S25"/>
    <mergeCell ref="T23:U25"/>
    <mergeCell ref="L24:N24"/>
    <mergeCell ref="M25:N25"/>
    <mergeCell ref="O24:P25"/>
    <mergeCell ref="L25:L26"/>
    <mergeCell ref="A23:A26"/>
    <mergeCell ref="A21:U21"/>
    <mergeCell ref="A36:U36"/>
    <mergeCell ref="B23:B26"/>
    <mergeCell ref="H23:I25"/>
    <mergeCell ref="D23:D26"/>
    <mergeCell ref="E23:E26"/>
    <mergeCell ref="C23:C26"/>
    <mergeCell ref="F23:G25"/>
  </mergeCells>
  <phoneticPr fontId="33" type="noConversion"/>
  <pageMargins left="0.51181102362204722" right="0.51181102362204722" top="0.74803149606299213" bottom="0.74803149606299213" header="0.31496062992125984" footer="0.31496062992125984"/>
  <pageSetup paperSize="9" scale="78" orientation="landscape" r:id="rId1"/>
  <rowBreaks count="1" manualBreakCount="1">
    <brk id="21" max="22" man="1"/>
  </rowBreaks>
  <colBreaks count="1" manualBreakCount="1">
    <brk id="21"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B52"/>
  <sheetViews>
    <sheetView view="pageBreakPreview" topLeftCell="C3" zoomScaleNormal="100" zoomScaleSheetLayoutView="100" workbookViewId="0">
      <selection activeCell="T48" sqref="T48:U48"/>
    </sheetView>
  </sheetViews>
  <sheetFormatPr defaultRowHeight="15" x14ac:dyDescent="0.25"/>
  <cols>
    <col min="1" max="1" width="6.85546875" customWidth="1"/>
    <col min="2" max="2" width="22.42578125" customWidth="1"/>
    <col min="3" max="3" width="6.85546875" customWidth="1"/>
    <col min="4" max="4" width="9.28515625" customWidth="1"/>
    <col min="5" max="5" width="8.85546875" customWidth="1"/>
    <col min="6" max="6" width="3.140625" bestFit="1" customWidth="1"/>
    <col min="8" max="8" width="3.140625" bestFit="1" customWidth="1"/>
    <col min="9" max="9" width="5.42578125" customWidth="1"/>
    <col min="10" max="10" width="3.140625" bestFit="1" customWidth="1"/>
    <col min="12" max="13" width="3.140625" bestFit="1" customWidth="1"/>
    <col min="15" max="15" width="3.140625" bestFit="1" customWidth="1"/>
    <col min="18" max="18" width="3.140625" bestFit="1" customWidth="1"/>
    <col min="20" max="20" width="3.140625" bestFit="1" customWidth="1"/>
  </cols>
  <sheetData>
    <row r="1" spans="1:28" s="12" customFormat="1" ht="18" customHeight="1" x14ac:dyDescent="0.2">
      <c r="A1" s="1149" t="s">
        <v>649</v>
      </c>
      <c r="B1" s="1149"/>
      <c r="C1" s="1150"/>
      <c r="D1" s="1149"/>
      <c r="E1" s="1149"/>
      <c r="F1" s="1149"/>
      <c r="G1" s="1149"/>
      <c r="H1" s="1150"/>
      <c r="I1" s="1150"/>
      <c r="J1" s="1149"/>
      <c r="K1" s="1149"/>
      <c r="L1" s="1149"/>
      <c r="M1" s="1149"/>
      <c r="N1" s="1149"/>
      <c r="O1" s="1149"/>
      <c r="P1" s="1149"/>
      <c r="Q1" s="1149"/>
      <c r="R1" s="1149"/>
      <c r="S1" s="1149"/>
      <c r="T1" s="1149"/>
      <c r="U1" s="1149"/>
      <c r="V1" s="96"/>
      <c r="W1" s="96"/>
    </row>
    <row r="2" spans="1:28" s="12" customFormat="1"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V2" s="96"/>
      <c r="W2" s="96"/>
    </row>
    <row r="3" spans="1:28" s="12" customFormat="1"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V3" s="96"/>
      <c r="W3" s="96"/>
    </row>
    <row r="4" spans="1:28" s="12" customFormat="1"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V4" s="96"/>
      <c r="W4" s="96"/>
    </row>
    <row r="5" spans="1:28" s="12" customFormat="1" ht="21.75"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V5" s="96"/>
      <c r="W5" s="96"/>
    </row>
    <row r="6" spans="1:28" s="12" customFormat="1" ht="35.450000000000003" customHeight="1" x14ac:dyDescent="0.2">
      <c r="A6" s="143" t="s">
        <v>63</v>
      </c>
      <c r="B6" s="452" t="s">
        <v>317</v>
      </c>
      <c r="C6" s="465">
        <v>47743</v>
      </c>
      <c r="D6" s="341">
        <v>468525.28</v>
      </c>
      <c r="E6" s="480">
        <v>44516</v>
      </c>
      <c r="F6" s="456">
        <v>1</v>
      </c>
      <c r="G6" s="456">
        <v>500000</v>
      </c>
      <c r="H6" s="456">
        <v>0</v>
      </c>
      <c r="I6" s="456">
        <v>0</v>
      </c>
      <c r="J6" s="456">
        <v>1</v>
      </c>
      <c r="K6" s="456">
        <v>468525.28</v>
      </c>
      <c r="L6" s="456">
        <v>1</v>
      </c>
      <c r="M6" s="456">
        <v>1</v>
      </c>
      <c r="N6" s="456">
        <v>468525.28</v>
      </c>
      <c r="O6" s="456">
        <v>0</v>
      </c>
      <c r="P6" s="456">
        <v>0</v>
      </c>
      <c r="Q6" s="455">
        <f t="shared" ref="Q6:Q18" si="0">K6-N6</f>
        <v>0</v>
      </c>
      <c r="R6" s="456">
        <v>0</v>
      </c>
      <c r="S6" s="456">
        <v>0</v>
      </c>
      <c r="T6" s="456">
        <v>0</v>
      </c>
      <c r="U6" s="456">
        <v>0</v>
      </c>
    </row>
    <row r="7" spans="1:28" s="12" customFormat="1" ht="35.450000000000003" customHeight="1" x14ac:dyDescent="0.2">
      <c r="A7" s="143" t="s">
        <v>540</v>
      </c>
      <c r="B7" s="452" t="s">
        <v>319</v>
      </c>
      <c r="C7" s="465">
        <v>48721</v>
      </c>
      <c r="D7" s="451">
        <v>148982.41</v>
      </c>
      <c r="E7" s="453">
        <v>44635</v>
      </c>
      <c r="F7" s="456">
        <v>5</v>
      </c>
      <c r="G7" s="456">
        <v>148982.41</v>
      </c>
      <c r="H7" s="456">
        <v>0</v>
      </c>
      <c r="I7" s="456">
        <v>0</v>
      </c>
      <c r="J7" s="456">
        <v>3</v>
      </c>
      <c r="K7" s="456">
        <v>75767.19</v>
      </c>
      <c r="L7" s="456">
        <v>3</v>
      </c>
      <c r="M7" s="456">
        <v>3</v>
      </c>
      <c r="N7" s="456">
        <v>75767.19</v>
      </c>
      <c r="O7" s="456">
        <v>2</v>
      </c>
      <c r="P7" s="456">
        <v>66600.010000000009</v>
      </c>
      <c r="Q7" s="455">
        <f t="shared" si="0"/>
        <v>0</v>
      </c>
      <c r="R7" s="456">
        <v>2</v>
      </c>
      <c r="S7" s="456">
        <v>32685</v>
      </c>
      <c r="T7" s="456">
        <v>0</v>
      </c>
      <c r="U7" s="456">
        <v>0</v>
      </c>
    </row>
    <row r="8" spans="1:28" s="12" customFormat="1" ht="35.450000000000003" customHeight="1" x14ac:dyDescent="0.2">
      <c r="A8" s="143" t="s">
        <v>541</v>
      </c>
      <c r="B8" s="452" t="s">
        <v>330</v>
      </c>
      <c r="C8" s="465">
        <v>48802</v>
      </c>
      <c r="D8" s="451">
        <v>59856.800000000003</v>
      </c>
      <c r="E8" s="453">
        <v>44635</v>
      </c>
      <c r="F8" s="456">
        <v>3</v>
      </c>
      <c r="G8" s="456">
        <v>59856.4</v>
      </c>
      <c r="H8" s="456">
        <v>0</v>
      </c>
      <c r="I8" s="456">
        <v>0</v>
      </c>
      <c r="J8" s="456">
        <v>3</v>
      </c>
      <c r="K8" s="456">
        <v>59856.4</v>
      </c>
      <c r="L8" s="456">
        <v>1</v>
      </c>
      <c r="M8" s="456">
        <v>1</v>
      </c>
      <c r="N8" s="456">
        <v>18375</v>
      </c>
      <c r="O8" s="456">
        <v>2</v>
      </c>
      <c r="P8" s="456">
        <v>40150</v>
      </c>
      <c r="Q8" s="455">
        <f t="shared" si="0"/>
        <v>41481.4</v>
      </c>
      <c r="R8" s="456">
        <v>0</v>
      </c>
      <c r="S8" s="456">
        <v>0</v>
      </c>
      <c r="T8" s="456">
        <v>0</v>
      </c>
      <c r="U8" s="456">
        <v>0</v>
      </c>
    </row>
    <row r="9" spans="1:28" s="12" customFormat="1" ht="35.450000000000003" customHeight="1" x14ac:dyDescent="0.2">
      <c r="A9" s="143" t="s">
        <v>242</v>
      </c>
      <c r="B9" s="452" t="s">
        <v>331</v>
      </c>
      <c r="C9" s="465">
        <v>50084</v>
      </c>
      <c r="D9" s="451">
        <v>0</v>
      </c>
      <c r="E9" s="453">
        <v>44635</v>
      </c>
      <c r="F9" s="456">
        <v>0</v>
      </c>
      <c r="G9" s="456">
        <v>0</v>
      </c>
      <c r="H9" s="456">
        <v>0</v>
      </c>
      <c r="I9" s="456">
        <v>0</v>
      </c>
      <c r="J9" s="456">
        <v>0</v>
      </c>
      <c r="K9" s="458">
        <v>0</v>
      </c>
      <c r="L9" s="456">
        <v>0</v>
      </c>
      <c r="M9" s="456">
        <v>0</v>
      </c>
      <c r="N9" s="456">
        <v>0</v>
      </c>
      <c r="O9" s="456">
        <v>0</v>
      </c>
      <c r="P9" s="456">
        <v>0</v>
      </c>
      <c r="Q9" s="455">
        <f t="shared" si="0"/>
        <v>0</v>
      </c>
      <c r="R9" s="456">
        <v>0</v>
      </c>
      <c r="S9" s="456">
        <v>0</v>
      </c>
      <c r="T9" s="456">
        <v>0</v>
      </c>
      <c r="U9" s="456">
        <v>0</v>
      </c>
    </row>
    <row r="10" spans="1:28" s="12" customFormat="1" ht="35.450000000000003" customHeight="1" x14ac:dyDescent="0.2">
      <c r="A10" s="143" t="s">
        <v>540</v>
      </c>
      <c r="B10" s="452" t="s">
        <v>332</v>
      </c>
      <c r="C10" s="465">
        <v>50101</v>
      </c>
      <c r="D10" s="196">
        <v>142360.48000000001</v>
      </c>
      <c r="E10" s="480">
        <v>44454</v>
      </c>
      <c r="F10" s="456">
        <v>7</v>
      </c>
      <c r="G10" s="456">
        <v>271003.40000000002</v>
      </c>
      <c r="H10" s="456">
        <v>0</v>
      </c>
      <c r="I10" s="456">
        <v>0</v>
      </c>
      <c r="J10" s="456">
        <v>5</v>
      </c>
      <c r="K10" s="456">
        <v>142360.48000000001</v>
      </c>
      <c r="L10" s="456">
        <v>5</v>
      </c>
      <c r="M10" s="456">
        <v>5</v>
      </c>
      <c r="N10" s="456">
        <v>142360.48000000001</v>
      </c>
      <c r="O10" s="456">
        <v>2</v>
      </c>
      <c r="P10" s="456">
        <v>74739.399999999994</v>
      </c>
      <c r="Q10" s="455">
        <f t="shared" si="0"/>
        <v>0</v>
      </c>
      <c r="R10" s="456">
        <v>2</v>
      </c>
      <c r="S10" s="456">
        <v>19734.260000000002</v>
      </c>
      <c r="T10" s="456">
        <v>1</v>
      </c>
      <c r="U10" s="456">
        <v>14395.45</v>
      </c>
    </row>
    <row r="11" spans="1:28" s="12" customFormat="1" ht="35.450000000000003" customHeight="1" x14ac:dyDescent="0.2">
      <c r="A11" s="143" t="s">
        <v>236</v>
      </c>
      <c r="B11" s="452" t="s">
        <v>363</v>
      </c>
      <c r="C11" s="465">
        <v>50564</v>
      </c>
      <c r="D11" s="196">
        <v>329770</v>
      </c>
      <c r="E11" s="480">
        <v>44454</v>
      </c>
      <c r="F11" s="456">
        <v>17</v>
      </c>
      <c r="G11" s="456">
        <v>435843</v>
      </c>
      <c r="H11" s="456">
        <v>0</v>
      </c>
      <c r="I11" s="456">
        <v>0</v>
      </c>
      <c r="J11" s="456">
        <v>14</v>
      </c>
      <c r="K11" s="456">
        <v>331156.21999999997</v>
      </c>
      <c r="L11" s="456">
        <v>14</v>
      </c>
      <c r="M11" s="456">
        <v>14</v>
      </c>
      <c r="N11" s="456">
        <v>331156.21999999997</v>
      </c>
      <c r="O11" s="456">
        <v>3</v>
      </c>
      <c r="P11" s="456">
        <v>80700</v>
      </c>
      <c r="Q11" s="455">
        <f t="shared" si="0"/>
        <v>0</v>
      </c>
      <c r="R11" s="456">
        <v>6</v>
      </c>
      <c r="S11" s="456">
        <v>99393.5</v>
      </c>
      <c r="T11" s="456">
        <v>5</v>
      </c>
      <c r="U11" s="456">
        <v>75849.739999999991</v>
      </c>
    </row>
    <row r="12" spans="1:28" s="12" customFormat="1" ht="35.450000000000003" customHeight="1" x14ac:dyDescent="0.2">
      <c r="A12" s="143" t="s">
        <v>275</v>
      </c>
      <c r="B12" s="452" t="s">
        <v>364</v>
      </c>
      <c r="C12" s="465">
        <v>50566</v>
      </c>
      <c r="D12" s="341">
        <v>84505</v>
      </c>
      <c r="E12" s="480">
        <v>44454</v>
      </c>
      <c r="F12" s="456">
        <v>10</v>
      </c>
      <c r="G12" s="456">
        <v>270059.98</v>
      </c>
      <c r="H12" s="456">
        <v>0</v>
      </c>
      <c r="I12" s="456">
        <v>0</v>
      </c>
      <c r="J12" s="456">
        <v>3</v>
      </c>
      <c r="K12" s="456">
        <v>84505</v>
      </c>
      <c r="L12" s="456">
        <v>3</v>
      </c>
      <c r="M12" s="456">
        <v>3</v>
      </c>
      <c r="N12" s="456">
        <v>84504.66</v>
      </c>
      <c r="O12" s="456">
        <v>7</v>
      </c>
      <c r="P12" s="456">
        <v>180659.99</v>
      </c>
      <c r="Q12" s="455">
        <f t="shared" si="0"/>
        <v>0.33999999999650754</v>
      </c>
      <c r="R12" s="456">
        <v>0</v>
      </c>
      <c r="S12" s="456">
        <v>0</v>
      </c>
      <c r="T12" s="456">
        <v>0</v>
      </c>
      <c r="U12" s="456">
        <v>0</v>
      </c>
    </row>
    <row r="13" spans="1:28" s="12" customFormat="1" ht="35.450000000000003" customHeight="1" x14ac:dyDescent="0.2">
      <c r="A13" s="143" t="s">
        <v>236</v>
      </c>
      <c r="B13" s="464" t="s">
        <v>422</v>
      </c>
      <c r="C13" s="465">
        <v>52061</v>
      </c>
      <c r="D13" s="451">
        <v>133710</v>
      </c>
      <c r="E13" s="453">
        <v>44635</v>
      </c>
      <c r="F13" s="456">
        <v>6</v>
      </c>
      <c r="G13" s="456">
        <v>133710</v>
      </c>
      <c r="H13" s="456">
        <v>0</v>
      </c>
      <c r="I13" s="456">
        <v>0</v>
      </c>
      <c r="J13" s="456">
        <v>4</v>
      </c>
      <c r="K13" s="456">
        <v>96000</v>
      </c>
      <c r="L13" s="456">
        <v>4</v>
      </c>
      <c r="M13" s="456">
        <v>4</v>
      </c>
      <c r="N13" s="456">
        <v>96000</v>
      </c>
      <c r="O13" s="456">
        <v>2</v>
      </c>
      <c r="P13" s="456">
        <v>37200</v>
      </c>
      <c r="Q13" s="455">
        <f t="shared" si="0"/>
        <v>0</v>
      </c>
      <c r="R13" s="456">
        <v>1</v>
      </c>
      <c r="S13" s="456">
        <v>24000</v>
      </c>
      <c r="T13" s="456">
        <v>0</v>
      </c>
      <c r="U13" s="456">
        <v>0</v>
      </c>
    </row>
    <row r="14" spans="1:28" s="12" customFormat="1" ht="35.450000000000003" customHeight="1" x14ac:dyDescent="0.2">
      <c r="A14" s="143" t="s">
        <v>55</v>
      </c>
      <c r="B14" s="452" t="s">
        <v>387</v>
      </c>
      <c r="C14" s="465">
        <v>52042</v>
      </c>
      <c r="D14" s="341">
        <v>99812</v>
      </c>
      <c r="E14" s="453">
        <v>44651</v>
      </c>
      <c r="F14" s="456">
        <v>3</v>
      </c>
      <c r="G14" s="456">
        <v>149735</v>
      </c>
      <c r="H14" s="456">
        <v>0</v>
      </c>
      <c r="I14" s="456">
        <v>0</v>
      </c>
      <c r="J14" s="456">
        <v>2</v>
      </c>
      <c r="K14" s="456">
        <v>99812</v>
      </c>
      <c r="L14" s="456">
        <v>2</v>
      </c>
      <c r="M14" s="456">
        <v>2</v>
      </c>
      <c r="N14" s="456">
        <v>99812</v>
      </c>
      <c r="O14" s="456">
        <v>1</v>
      </c>
      <c r="P14" s="456">
        <v>49923</v>
      </c>
      <c r="Q14" s="455">
        <f t="shared" si="0"/>
        <v>0</v>
      </c>
      <c r="R14" s="456">
        <v>0</v>
      </c>
      <c r="S14" s="456">
        <v>0</v>
      </c>
      <c r="T14" s="456">
        <v>0</v>
      </c>
      <c r="U14" s="456">
        <v>0</v>
      </c>
    </row>
    <row r="15" spans="1:28" s="12" customFormat="1" ht="35.450000000000003" customHeight="1" x14ac:dyDescent="0.2">
      <c r="A15" s="357" t="s">
        <v>151</v>
      </c>
      <c r="B15" s="452" t="s">
        <v>494</v>
      </c>
      <c r="C15" s="465">
        <v>64627</v>
      </c>
      <c r="D15" s="341">
        <v>91822.720000000001</v>
      </c>
      <c r="E15" s="453">
        <v>44697</v>
      </c>
      <c r="F15" s="456">
        <v>3</v>
      </c>
      <c r="G15" s="456">
        <v>150000</v>
      </c>
      <c r="H15" s="456">
        <v>0</v>
      </c>
      <c r="I15" s="456">
        <v>0</v>
      </c>
      <c r="J15" s="456">
        <v>2</v>
      </c>
      <c r="K15" s="456">
        <v>91822.720000000001</v>
      </c>
      <c r="L15" s="456">
        <v>2</v>
      </c>
      <c r="M15" s="456">
        <v>2</v>
      </c>
      <c r="N15" s="456">
        <v>91822.720000000001</v>
      </c>
      <c r="O15" s="456">
        <v>1</v>
      </c>
      <c r="P15" s="456">
        <v>50000</v>
      </c>
      <c r="Q15" s="455">
        <f t="shared" si="0"/>
        <v>0</v>
      </c>
      <c r="R15" s="456">
        <v>1</v>
      </c>
      <c r="S15" s="456">
        <v>15152.84</v>
      </c>
      <c r="T15" s="456">
        <v>0</v>
      </c>
      <c r="U15" s="456">
        <v>0</v>
      </c>
      <c r="W15" s="472"/>
      <c r="X15" s="473"/>
      <c r="Y15" s="474"/>
      <c r="Z15" s="477"/>
      <c r="AA15" s="475"/>
      <c r="AB15" s="522"/>
    </row>
    <row r="16" spans="1:28" s="12" customFormat="1" ht="35.450000000000003" customHeight="1" x14ac:dyDescent="0.2">
      <c r="A16" s="495" t="s">
        <v>55</v>
      </c>
      <c r="B16" s="469" t="s">
        <v>387</v>
      </c>
      <c r="C16" s="470">
        <v>72464</v>
      </c>
      <c r="D16" s="451">
        <v>100000</v>
      </c>
      <c r="E16" s="367">
        <v>45191</v>
      </c>
      <c r="F16" s="366">
        <v>2</v>
      </c>
      <c r="G16" s="366">
        <v>100000</v>
      </c>
      <c r="H16" s="366">
        <v>0</v>
      </c>
      <c r="I16" s="366">
        <v>0</v>
      </c>
      <c r="J16" s="366">
        <v>2</v>
      </c>
      <c r="K16" s="366">
        <v>100000</v>
      </c>
      <c r="L16" s="456">
        <v>2</v>
      </c>
      <c r="M16" s="456">
        <v>2</v>
      </c>
      <c r="N16" s="456">
        <v>100000</v>
      </c>
      <c r="O16" s="456">
        <v>0</v>
      </c>
      <c r="P16" s="456">
        <v>0</v>
      </c>
      <c r="Q16" s="455">
        <f t="shared" si="0"/>
        <v>0</v>
      </c>
      <c r="R16" s="456">
        <v>0</v>
      </c>
      <c r="S16" s="456">
        <v>0</v>
      </c>
      <c r="T16" s="456">
        <v>0</v>
      </c>
      <c r="U16" s="456">
        <v>0</v>
      </c>
      <c r="W16" s="472"/>
      <c r="X16" s="473"/>
      <c r="Y16" s="474"/>
      <c r="Z16" s="477"/>
      <c r="AA16" s="475"/>
      <c r="AB16" s="522"/>
    </row>
    <row r="17" spans="1:28" s="12" customFormat="1" ht="35.450000000000003" customHeight="1" x14ac:dyDescent="0.2">
      <c r="A17" s="357" t="s">
        <v>245</v>
      </c>
      <c r="B17" s="452" t="s">
        <v>576</v>
      </c>
      <c r="C17" s="465">
        <v>74842</v>
      </c>
      <c r="D17" s="451">
        <v>937023.58</v>
      </c>
      <c r="E17" s="367">
        <v>45369</v>
      </c>
      <c r="F17" s="366">
        <v>7</v>
      </c>
      <c r="G17" s="366">
        <v>937023.57000000007</v>
      </c>
      <c r="H17" s="366">
        <v>0</v>
      </c>
      <c r="I17" s="366">
        <v>0</v>
      </c>
      <c r="J17" s="366">
        <v>7</v>
      </c>
      <c r="K17" s="366">
        <v>937023.57000000007</v>
      </c>
      <c r="L17" s="456">
        <v>7</v>
      </c>
      <c r="M17" s="456">
        <v>0</v>
      </c>
      <c r="N17" s="456">
        <v>0</v>
      </c>
      <c r="O17" s="456">
        <v>0</v>
      </c>
      <c r="P17" s="456">
        <v>0</v>
      </c>
      <c r="Q17" s="455">
        <f t="shared" si="0"/>
        <v>937023.57000000007</v>
      </c>
      <c r="R17" s="456">
        <v>0</v>
      </c>
      <c r="S17" s="456">
        <v>0</v>
      </c>
      <c r="T17" s="456">
        <v>0</v>
      </c>
      <c r="U17" s="456">
        <v>0</v>
      </c>
      <c r="W17" s="472"/>
      <c r="X17" s="473"/>
      <c r="Y17" s="474"/>
      <c r="Z17" s="477"/>
      <c r="AA17" s="475"/>
      <c r="AB17" s="522"/>
    </row>
    <row r="18" spans="1:28" s="12" customFormat="1" ht="35.450000000000003" customHeight="1" x14ac:dyDescent="0.2">
      <c r="A18" s="495" t="s">
        <v>597</v>
      </c>
      <c r="B18" s="496" t="s">
        <v>598</v>
      </c>
      <c r="C18" s="470">
        <v>76761</v>
      </c>
      <c r="D18" s="451">
        <v>1054710.6399999999</v>
      </c>
      <c r="E18" s="367">
        <v>45677</v>
      </c>
      <c r="F18" s="366">
        <v>1</v>
      </c>
      <c r="G18" s="366">
        <v>200000</v>
      </c>
      <c r="H18" s="366">
        <v>0</v>
      </c>
      <c r="I18" s="366">
        <v>0</v>
      </c>
      <c r="J18" s="366">
        <v>1</v>
      </c>
      <c r="K18" s="366">
        <v>200000</v>
      </c>
      <c r="L18" s="456">
        <v>0</v>
      </c>
      <c r="M18" s="456">
        <v>0</v>
      </c>
      <c r="N18" s="456">
        <v>0</v>
      </c>
      <c r="O18" s="456">
        <v>0</v>
      </c>
      <c r="P18" s="456">
        <v>0</v>
      </c>
      <c r="Q18" s="455">
        <f t="shared" si="0"/>
        <v>200000</v>
      </c>
      <c r="R18" s="456">
        <v>0</v>
      </c>
      <c r="S18" s="456">
        <v>0</v>
      </c>
      <c r="T18" s="456">
        <v>0</v>
      </c>
      <c r="U18" s="456">
        <v>0</v>
      </c>
    </row>
    <row r="19" spans="1:28" s="12" customFormat="1" ht="11.25" x14ac:dyDescent="0.2">
      <c r="A19" s="19" t="s">
        <v>1</v>
      </c>
      <c r="B19" s="19"/>
      <c r="C19" s="60"/>
      <c r="D19" s="20">
        <f>SUM(D6:D18)</f>
        <v>3651078.91</v>
      </c>
      <c r="E19" s="20"/>
      <c r="F19" s="20">
        <f t="shared" ref="F19:U19" si="1">SUM(F6:F18)</f>
        <v>65</v>
      </c>
      <c r="G19" s="20">
        <f t="shared" si="1"/>
        <v>3356213.76</v>
      </c>
      <c r="H19" s="20">
        <f t="shared" si="1"/>
        <v>0</v>
      </c>
      <c r="I19" s="20">
        <f t="shared" si="1"/>
        <v>0</v>
      </c>
      <c r="J19" s="20">
        <f t="shared" si="1"/>
        <v>47</v>
      </c>
      <c r="K19" s="20">
        <f t="shared" si="1"/>
        <v>2686828.86</v>
      </c>
      <c r="L19" s="20">
        <f t="shared" si="1"/>
        <v>44</v>
      </c>
      <c r="M19" s="20">
        <f t="shared" si="1"/>
        <v>37</v>
      </c>
      <c r="N19" s="20">
        <f t="shared" si="1"/>
        <v>1508323.5499999998</v>
      </c>
      <c r="O19" s="20">
        <f t="shared" si="1"/>
        <v>20</v>
      </c>
      <c r="P19" s="20">
        <f t="shared" si="1"/>
        <v>579972.4</v>
      </c>
      <c r="Q19" s="20">
        <f t="shared" si="1"/>
        <v>1178505.31</v>
      </c>
      <c r="R19" s="20">
        <f t="shared" si="1"/>
        <v>12</v>
      </c>
      <c r="S19" s="20">
        <f t="shared" si="1"/>
        <v>190965.6</v>
      </c>
      <c r="T19" s="530">
        <f t="shared" si="1"/>
        <v>6</v>
      </c>
      <c r="U19" s="530">
        <f t="shared" si="1"/>
        <v>90245.189999999988</v>
      </c>
      <c r="V19" s="96"/>
      <c r="W19" s="96"/>
    </row>
    <row r="20" spans="1:28" ht="16.5" customHeight="1" x14ac:dyDescent="0.25">
      <c r="A20" s="219" t="s">
        <v>390</v>
      </c>
      <c r="B20" s="140"/>
      <c r="C20" s="140"/>
      <c r="D20" s="140"/>
      <c r="E20" s="140"/>
      <c r="F20" s="140"/>
      <c r="G20" s="140"/>
      <c r="H20" s="140"/>
      <c r="I20" s="140"/>
      <c r="J20" s="140"/>
      <c r="K20" s="140"/>
      <c r="L20" s="140"/>
      <c r="M20" s="140"/>
      <c r="N20" s="140"/>
      <c r="O20" s="140"/>
      <c r="P20" s="140"/>
      <c r="Q20" s="140"/>
      <c r="R20" s="140"/>
    </row>
    <row r="21" spans="1:28" s="23" customFormat="1" ht="23.25" customHeight="1" x14ac:dyDescent="0.25">
      <c r="A21" s="1148" t="s">
        <v>732</v>
      </c>
      <c r="B21" s="1148"/>
      <c r="C21" s="1148"/>
      <c r="D21" s="1148"/>
      <c r="E21" s="1148"/>
      <c r="F21" s="1148"/>
      <c r="G21" s="1148"/>
      <c r="H21" s="1148"/>
      <c r="I21" s="1148"/>
      <c r="J21" s="1148"/>
      <c r="K21" s="1148"/>
      <c r="L21" s="1148"/>
      <c r="M21" s="1148"/>
      <c r="N21" s="1148"/>
      <c r="O21" s="1148"/>
      <c r="P21" s="1148"/>
      <c r="Q21" s="1148"/>
      <c r="R21" s="1148"/>
      <c r="S21" s="1148"/>
      <c r="T21" s="1148"/>
      <c r="U21" s="1148"/>
      <c r="V21" s="90"/>
      <c r="X21" s="90"/>
    </row>
    <row r="22" spans="1:28" s="12" customFormat="1" ht="18" customHeight="1" x14ac:dyDescent="0.2">
      <c r="A22" s="1149" t="s">
        <v>650</v>
      </c>
      <c r="B22" s="1149"/>
      <c r="C22" s="1150"/>
      <c r="D22" s="1149"/>
      <c r="E22" s="1149"/>
      <c r="F22" s="1149"/>
      <c r="G22" s="1149"/>
      <c r="H22" s="1150"/>
      <c r="I22" s="1150"/>
      <c r="J22" s="1149"/>
      <c r="K22" s="1149"/>
      <c r="L22" s="1149"/>
      <c r="M22" s="1149"/>
      <c r="N22" s="1149"/>
      <c r="O22" s="1149"/>
      <c r="P22" s="1149"/>
      <c r="Q22" s="1149"/>
      <c r="R22" s="1149"/>
      <c r="S22" s="1149"/>
      <c r="T22" s="1149"/>
      <c r="U22" s="1149"/>
      <c r="V22" s="96"/>
      <c r="W22" s="96"/>
    </row>
    <row r="23" spans="1:28" s="12" customFormat="1" ht="20.25" customHeight="1" x14ac:dyDescent="0.2">
      <c r="A23" s="966" t="s">
        <v>248</v>
      </c>
      <c r="B23" s="966" t="s">
        <v>156</v>
      </c>
      <c r="C23" s="966" t="s">
        <v>282</v>
      </c>
      <c r="D23" s="966" t="s">
        <v>157</v>
      </c>
      <c r="E23" s="966" t="s">
        <v>158</v>
      </c>
      <c r="F23" s="997" t="s">
        <v>337</v>
      </c>
      <c r="G23" s="998"/>
      <c r="H23" s="997" t="s">
        <v>277</v>
      </c>
      <c r="I23" s="998"/>
      <c r="J23" s="997" t="s">
        <v>159</v>
      </c>
      <c r="K23" s="998"/>
      <c r="L23" s="976" t="s">
        <v>717</v>
      </c>
      <c r="M23" s="977"/>
      <c r="N23" s="977"/>
      <c r="O23" s="977"/>
      <c r="P23" s="978"/>
      <c r="Q23" s="966" t="s">
        <v>250</v>
      </c>
      <c r="R23" s="969" t="s">
        <v>718</v>
      </c>
      <c r="S23" s="970"/>
      <c r="T23" s="969" t="s">
        <v>719</v>
      </c>
      <c r="U23" s="970"/>
      <c r="V23" s="96"/>
      <c r="W23" s="96"/>
    </row>
    <row r="24" spans="1:28" s="12" customFormat="1" ht="10.15" customHeight="1" x14ac:dyDescent="0.2">
      <c r="A24" s="967"/>
      <c r="B24" s="967"/>
      <c r="C24" s="967"/>
      <c r="D24" s="967"/>
      <c r="E24" s="967"/>
      <c r="F24" s="971"/>
      <c r="G24" s="972"/>
      <c r="H24" s="971"/>
      <c r="I24" s="972"/>
      <c r="J24" s="971"/>
      <c r="K24" s="972"/>
      <c r="L24" s="1143" t="s">
        <v>160</v>
      </c>
      <c r="M24" s="977"/>
      <c r="N24" s="978"/>
      <c r="O24" s="997" t="s">
        <v>631</v>
      </c>
      <c r="P24" s="998"/>
      <c r="Q24" s="967"/>
      <c r="R24" s="971"/>
      <c r="S24" s="972"/>
      <c r="T24" s="971"/>
      <c r="U24" s="972"/>
      <c r="V24" s="96"/>
      <c r="W24" s="96"/>
    </row>
    <row r="25" spans="1:28" s="12" customFormat="1" ht="21" customHeight="1" x14ac:dyDescent="0.2">
      <c r="A25" s="967"/>
      <c r="B25" s="967"/>
      <c r="C25" s="967"/>
      <c r="D25" s="967"/>
      <c r="E25" s="967"/>
      <c r="F25" s="973"/>
      <c r="G25" s="974"/>
      <c r="H25" s="973"/>
      <c r="I25" s="974"/>
      <c r="J25" s="973"/>
      <c r="K25" s="974"/>
      <c r="L25" s="979" t="s">
        <v>161</v>
      </c>
      <c r="M25" s="1143" t="s">
        <v>247</v>
      </c>
      <c r="N25" s="978"/>
      <c r="O25" s="973"/>
      <c r="P25" s="974"/>
      <c r="Q25" s="975"/>
      <c r="R25" s="973"/>
      <c r="S25" s="974"/>
      <c r="T25" s="973"/>
      <c r="U25" s="974"/>
      <c r="V25" s="96"/>
      <c r="W25" s="96"/>
    </row>
    <row r="26" spans="1:28" s="12" customFormat="1" ht="21.75" x14ac:dyDescent="0.2">
      <c r="A26" s="975"/>
      <c r="B26" s="975"/>
      <c r="C26" s="975"/>
      <c r="D26" s="975"/>
      <c r="E26" s="975"/>
      <c r="F26" s="127" t="s">
        <v>161</v>
      </c>
      <c r="G26" s="128" t="s">
        <v>162</v>
      </c>
      <c r="H26" s="15" t="s">
        <v>161</v>
      </c>
      <c r="I26" s="16" t="s">
        <v>162</v>
      </c>
      <c r="J26" s="127" t="s">
        <v>161</v>
      </c>
      <c r="K26" s="128" t="s">
        <v>162</v>
      </c>
      <c r="L26" s="1142"/>
      <c r="M26" s="160" t="s">
        <v>161</v>
      </c>
      <c r="N26" s="130" t="s">
        <v>162</v>
      </c>
      <c r="O26" s="160" t="s">
        <v>161</v>
      </c>
      <c r="P26" s="130" t="s">
        <v>162</v>
      </c>
      <c r="Q26" s="16" t="s">
        <v>162</v>
      </c>
      <c r="R26" s="15" t="s">
        <v>161</v>
      </c>
      <c r="S26" s="16" t="s">
        <v>162</v>
      </c>
      <c r="T26" s="78" t="s">
        <v>161</v>
      </c>
      <c r="U26" s="79" t="s">
        <v>162</v>
      </c>
      <c r="V26" s="96"/>
      <c r="W26" s="96"/>
    </row>
    <row r="27" spans="1:28" s="12" customFormat="1" ht="22.5" x14ac:dyDescent="0.2">
      <c r="A27" s="143" t="s">
        <v>540</v>
      </c>
      <c r="B27" s="452" t="s">
        <v>357</v>
      </c>
      <c r="C27" s="465">
        <v>50121</v>
      </c>
      <c r="D27" s="451">
        <v>20000</v>
      </c>
      <c r="E27" s="453">
        <v>44218</v>
      </c>
      <c r="F27" s="456">
        <v>9</v>
      </c>
      <c r="G27" s="456">
        <v>175484.55</v>
      </c>
      <c r="H27" s="456">
        <v>0</v>
      </c>
      <c r="I27" s="456">
        <v>0</v>
      </c>
      <c r="J27" s="456">
        <v>1</v>
      </c>
      <c r="K27" s="456">
        <v>20000</v>
      </c>
      <c r="L27" s="456">
        <v>1</v>
      </c>
      <c r="M27" s="456">
        <v>1</v>
      </c>
      <c r="N27" s="456">
        <v>20000</v>
      </c>
      <c r="O27" s="456">
        <v>8</v>
      </c>
      <c r="P27" s="456">
        <v>155484.54999999999</v>
      </c>
      <c r="Q27" s="455">
        <f t="shared" ref="Q27:Q32" si="2">K27-N27</f>
        <v>0</v>
      </c>
      <c r="R27" s="456">
        <v>1</v>
      </c>
      <c r="S27" s="456">
        <v>19884</v>
      </c>
      <c r="T27" s="456">
        <v>1</v>
      </c>
      <c r="U27" s="456">
        <v>12357.76</v>
      </c>
    </row>
    <row r="28" spans="1:28" s="12" customFormat="1" ht="22.5" x14ac:dyDescent="0.2">
      <c r="A28" s="143" t="s">
        <v>540</v>
      </c>
      <c r="B28" s="452" t="s">
        <v>536</v>
      </c>
      <c r="C28" s="465">
        <v>50122</v>
      </c>
      <c r="D28" s="451">
        <v>0</v>
      </c>
      <c r="E28" s="453">
        <v>44218</v>
      </c>
      <c r="F28" s="456">
        <v>3</v>
      </c>
      <c r="G28" s="456">
        <v>59999.5</v>
      </c>
      <c r="H28" s="456">
        <v>0</v>
      </c>
      <c r="I28" s="456">
        <v>0</v>
      </c>
      <c r="J28" s="456">
        <v>0</v>
      </c>
      <c r="K28" s="456">
        <v>0</v>
      </c>
      <c r="L28" s="456">
        <v>0</v>
      </c>
      <c r="M28" s="456">
        <v>0</v>
      </c>
      <c r="N28" s="456">
        <v>0</v>
      </c>
      <c r="O28" s="456">
        <v>3</v>
      </c>
      <c r="P28" s="456">
        <v>59999.5</v>
      </c>
      <c r="Q28" s="455">
        <f t="shared" si="2"/>
        <v>0</v>
      </c>
      <c r="R28" s="456">
        <v>0</v>
      </c>
      <c r="S28" s="456">
        <v>0</v>
      </c>
      <c r="T28" s="456">
        <v>0</v>
      </c>
      <c r="U28" s="456">
        <v>0</v>
      </c>
    </row>
    <row r="29" spans="1:28" s="12" customFormat="1" ht="33.75" x14ac:dyDescent="0.2">
      <c r="A29" s="143" t="s">
        <v>540</v>
      </c>
      <c r="B29" s="452" t="s">
        <v>359</v>
      </c>
      <c r="C29" s="465">
        <v>50062</v>
      </c>
      <c r="D29" s="451">
        <v>0</v>
      </c>
      <c r="E29" s="453">
        <v>44218</v>
      </c>
      <c r="F29" s="456">
        <v>0</v>
      </c>
      <c r="G29" s="456">
        <v>0</v>
      </c>
      <c r="H29" s="456">
        <v>0</v>
      </c>
      <c r="I29" s="456">
        <v>0</v>
      </c>
      <c r="J29" s="456">
        <v>0</v>
      </c>
      <c r="K29" s="458">
        <v>0</v>
      </c>
      <c r="L29" s="456">
        <v>0</v>
      </c>
      <c r="M29" s="456">
        <v>0</v>
      </c>
      <c r="N29" s="456">
        <v>0</v>
      </c>
      <c r="O29" s="456">
        <v>0</v>
      </c>
      <c r="P29" s="456">
        <v>0</v>
      </c>
      <c r="Q29" s="455">
        <f t="shared" si="2"/>
        <v>0</v>
      </c>
      <c r="R29" s="456">
        <v>0</v>
      </c>
      <c r="S29" s="456">
        <v>0</v>
      </c>
      <c r="T29" s="456">
        <v>0</v>
      </c>
      <c r="U29" s="456">
        <v>0</v>
      </c>
    </row>
    <row r="30" spans="1:28" s="12" customFormat="1" ht="33.75" x14ac:dyDescent="0.2">
      <c r="A30" s="143" t="s">
        <v>540</v>
      </c>
      <c r="B30" s="452" t="s">
        <v>360</v>
      </c>
      <c r="C30" s="465">
        <v>50063</v>
      </c>
      <c r="D30" s="451">
        <v>0</v>
      </c>
      <c r="E30" s="453">
        <v>44218</v>
      </c>
      <c r="F30" s="456">
        <v>2</v>
      </c>
      <c r="G30" s="456">
        <v>19750</v>
      </c>
      <c r="H30" s="456">
        <v>0</v>
      </c>
      <c r="I30" s="456">
        <v>0</v>
      </c>
      <c r="J30" s="456">
        <v>0</v>
      </c>
      <c r="K30" s="456">
        <v>0</v>
      </c>
      <c r="L30" s="456">
        <v>0</v>
      </c>
      <c r="M30" s="456">
        <v>0</v>
      </c>
      <c r="N30" s="456">
        <v>0</v>
      </c>
      <c r="O30" s="456">
        <v>2</v>
      </c>
      <c r="P30" s="456">
        <v>17606.810000000001</v>
      </c>
      <c r="Q30" s="455">
        <v>0</v>
      </c>
      <c r="R30" s="456">
        <v>0</v>
      </c>
      <c r="S30" s="456">
        <v>0</v>
      </c>
      <c r="T30" s="456">
        <v>0</v>
      </c>
      <c r="U30" s="456">
        <v>0</v>
      </c>
    </row>
    <row r="31" spans="1:28" s="12" customFormat="1" ht="22.5" x14ac:dyDescent="0.2">
      <c r="A31" s="143" t="s">
        <v>242</v>
      </c>
      <c r="B31" s="452" t="s">
        <v>361</v>
      </c>
      <c r="C31" s="465">
        <v>50061</v>
      </c>
      <c r="D31" s="341">
        <f>186000-62000</f>
        <v>124000</v>
      </c>
      <c r="E31" s="453">
        <v>44255</v>
      </c>
      <c r="F31" s="456">
        <v>6</v>
      </c>
      <c r="G31" s="456">
        <v>186000</v>
      </c>
      <c r="H31" s="456">
        <v>0</v>
      </c>
      <c r="I31" s="456">
        <v>0</v>
      </c>
      <c r="J31" s="456">
        <v>4</v>
      </c>
      <c r="K31" s="456">
        <v>124000</v>
      </c>
      <c r="L31" s="456">
        <v>4</v>
      </c>
      <c r="M31" s="456">
        <v>4</v>
      </c>
      <c r="N31" s="456">
        <f>186000-62000</f>
        <v>124000</v>
      </c>
      <c r="O31" s="456">
        <v>2</v>
      </c>
      <c r="P31" s="456">
        <v>62000</v>
      </c>
      <c r="Q31" s="455">
        <f t="shared" si="2"/>
        <v>0</v>
      </c>
      <c r="R31" s="456">
        <v>8</v>
      </c>
      <c r="S31" s="456">
        <v>124000</v>
      </c>
      <c r="T31" s="456">
        <v>8</v>
      </c>
      <c r="U31" s="456">
        <v>124000</v>
      </c>
    </row>
    <row r="32" spans="1:28" s="12" customFormat="1" ht="22.5" x14ac:dyDescent="0.2">
      <c r="A32" s="143" t="s">
        <v>242</v>
      </c>
      <c r="B32" s="452" t="s">
        <v>362</v>
      </c>
      <c r="C32" s="465">
        <v>50083</v>
      </c>
      <c r="D32" s="341">
        <v>168000</v>
      </c>
      <c r="E32" s="453">
        <v>44218</v>
      </c>
      <c r="F32" s="456">
        <v>7</v>
      </c>
      <c r="G32" s="456">
        <v>168000</v>
      </c>
      <c r="H32" s="456">
        <v>0</v>
      </c>
      <c r="I32" s="456">
        <v>0</v>
      </c>
      <c r="J32" s="456">
        <v>7</v>
      </c>
      <c r="K32" s="456">
        <v>168000</v>
      </c>
      <c r="L32" s="456">
        <v>7</v>
      </c>
      <c r="M32" s="456">
        <v>7</v>
      </c>
      <c r="N32" s="456">
        <v>168000</v>
      </c>
      <c r="O32" s="456">
        <v>0</v>
      </c>
      <c r="P32" s="456">
        <v>0</v>
      </c>
      <c r="Q32" s="455">
        <f t="shared" si="2"/>
        <v>0</v>
      </c>
      <c r="R32" s="456">
        <v>13</v>
      </c>
      <c r="S32" s="456">
        <v>160800</v>
      </c>
      <c r="T32" s="456">
        <v>13</v>
      </c>
      <c r="U32" s="456">
        <v>160800</v>
      </c>
    </row>
    <row r="33" spans="1:21" s="12" customFormat="1" ht="30.6" customHeight="1" x14ac:dyDescent="0.2">
      <c r="A33" s="143" t="s">
        <v>365</v>
      </c>
      <c r="B33" s="452" t="s">
        <v>366</v>
      </c>
      <c r="C33" s="465">
        <v>52025</v>
      </c>
      <c r="D33" s="451">
        <v>0</v>
      </c>
      <c r="E33" s="453">
        <v>44227</v>
      </c>
      <c r="F33" s="456">
        <v>1</v>
      </c>
      <c r="G33" s="456">
        <v>171000</v>
      </c>
      <c r="H33" s="1151" t="s">
        <v>495</v>
      </c>
      <c r="I33" s="1152"/>
      <c r="J33" s="1152"/>
      <c r="K33" s="1152"/>
      <c r="L33" s="1152"/>
      <c r="M33" s="1152"/>
      <c r="N33" s="1152"/>
      <c r="O33" s="1152"/>
      <c r="P33" s="1152"/>
      <c r="Q33" s="1152"/>
      <c r="R33" s="1152"/>
      <c r="S33" s="1152"/>
      <c r="T33" s="1152"/>
      <c r="U33" s="1153"/>
    </row>
    <row r="34" spans="1:21" s="12" customFormat="1" ht="30.6" customHeight="1" x14ac:dyDescent="0.2">
      <c r="A34" s="143" t="s">
        <v>275</v>
      </c>
      <c r="B34" s="452" t="s">
        <v>375</v>
      </c>
      <c r="C34" s="465">
        <v>52062</v>
      </c>
      <c r="D34" s="451">
        <v>0</v>
      </c>
      <c r="E34" s="453">
        <v>44206</v>
      </c>
      <c r="F34" s="456">
        <v>0</v>
      </c>
      <c r="G34" s="456">
        <v>0</v>
      </c>
      <c r="H34" s="456">
        <v>0</v>
      </c>
      <c r="I34" s="456">
        <v>0</v>
      </c>
      <c r="J34" s="456">
        <v>0</v>
      </c>
      <c r="K34" s="458">
        <v>0</v>
      </c>
      <c r="L34" s="456">
        <v>0</v>
      </c>
      <c r="M34" s="456">
        <v>0</v>
      </c>
      <c r="N34" s="456">
        <v>0</v>
      </c>
      <c r="O34" s="456">
        <v>0</v>
      </c>
      <c r="P34" s="456">
        <v>0</v>
      </c>
      <c r="Q34" s="455">
        <f t="shared" ref="Q34:Q49" si="3">K34-N34</f>
        <v>0</v>
      </c>
      <c r="R34" s="456">
        <v>0</v>
      </c>
      <c r="S34" s="456">
        <v>0</v>
      </c>
      <c r="T34" s="456">
        <v>0</v>
      </c>
      <c r="U34" s="456">
        <v>0</v>
      </c>
    </row>
    <row r="35" spans="1:21" s="12" customFormat="1" ht="22.5" x14ac:dyDescent="0.2">
      <c r="A35" s="143" t="s">
        <v>55</v>
      </c>
      <c r="B35" s="452" t="s">
        <v>367</v>
      </c>
      <c r="C35" s="465">
        <v>52022</v>
      </c>
      <c r="D35" s="451">
        <v>288000</v>
      </c>
      <c r="E35" s="453">
        <v>44206</v>
      </c>
      <c r="F35" s="456">
        <v>2</v>
      </c>
      <c r="G35" s="458">
        <v>288000</v>
      </c>
      <c r="H35" s="456">
        <v>0</v>
      </c>
      <c r="I35" s="456">
        <v>0</v>
      </c>
      <c r="J35" s="456">
        <v>2</v>
      </c>
      <c r="K35" s="458">
        <v>288000</v>
      </c>
      <c r="L35" s="456">
        <v>2</v>
      </c>
      <c r="M35" s="456">
        <v>2</v>
      </c>
      <c r="N35" s="456">
        <v>288000</v>
      </c>
      <c r="O35" s="456"/>
      <c r="P35" s="456"/>
      <c r="Q35" s="455">
        <f t="shared" si="3"/>
        <v>0</v>
      </c>
      <c r="R35" s="456">
        <v>1</v>
      </c>
      <c r="S35" s="456">
        <v>73242.42</v>
      </c>
      <c r="T35" s="456">
        <v>0</v>
      </c>
      <c r="U35" s="456">
        <v>0</v>
      </c>
    </row>
    <row r="36" spans="1:21" s="12" customFormat="1" ht="21" customHeight="1" x14ac:dyDescent="0.2">
      <c r="A36" s="143" t="s">
        <v>151</v>
      </c>
      <c r="B36" s="452" t="s">
        <v>378</v>
      </c>
      <c r="C36" s="465">
        <v>52101</v>
      </c>
      <c r="D36" s="451">
        <v>141903.46</v>
      </c>
      <c r="E36" s="453">
        <v>44227</v>
      </c>
      <c r="F36" s="456">
        <v>1</v>
      </c>
      <c r="G36" s="456">
        <v>144000</v>
      </c>
      <c r="H36" s="456">
        <v>0</v>
      </c>
      <c r="I36" s="456">
        <v>0</v>
      </c>
      <c r="J36" s="456">
        <v>1</v>
      </c>
      <c r="K36" s="456">
        <v>144000</v>
      </c>
      <c r="L36" s="456">
        <v>1</v>
      </c>
      <c r="M36" s="456">
        <v>1</v>
      </c>
      <c r="N36" s="456">
        <v>144000</v>
      </c>
      <c r="O36" s="456">
        <v>0</v>
      </c>
      <c r="P36" s="456">
        <v>0</v>
      </c>
      <c r="Q36" s="455">
        <f t="shared" si="3"/>
        <v>0</v>
      </c>
      <c r="R36" s="456">
        <v>1</v>
      </c>
      <c r="S36" s="456">
        <v>143900</v>
      </c>
      <c r="T36" s="456">
        <v>1</v>
      </c>
      <c r="U36" s="456">
        <v>141903.46</v>
      </c>
    </row>
    <row r="37" spans="1:21" s="12" customFormat="1" ht="39" customHeight="1" x14ac:dyDescent="0.2">
      <c r="A37" s="143" t="s">
        <v>151</v>
      </c>
      <c r="B37" s="452" t="s">
        <v>379</v>
      </c>
      <c r="C37" s="465">
        <v>52081</v>
      </c>
      <c r="D37" s="451">
        <v>144000</v>
      </c>
      <c r="E37" s="453">
        <v>44227</v>
      </c>
      <c r="F37" s="456">
        <v>3</v>
      </c>
      <c r="G37" s="456">
        <v>216000</v>
      </c>
      <c r="H37" s="456">
        <v>0</v>
      </c>
      <c r="I37" s="456">
        <v>0</v>
      </c>
      <c r="J37" s="456">
        <v>2</v>
      </c>
      <c r="K37" s="458">
        <v>144000</v>
      </c>
      <c r="L37" s="456">
        <v>2</v>
      </c>
      <c r="M37" s="456">
        <v>2</v>
      </c>
      <c r="N37" s="456">
        <v>144000</v>
      </c>
      <c r="O37" s="456">
        <v>1</v>
      </c>
      <c r="P37" s="456">
        <v>72000</v>
      </c>
      <c r="Q37" s="455">
        <f t="shared" si="3"/>
        <v>0</v>
      </c>
      <c r="R37" s="456">
        <v>2</v>
      </c>
      <c r="S37" s="456">
        <v>144000</v>
      </c>
      <c r="T37" s="456">
        <v>0</v>
      </c>
      <c r="U37" s="456">
        <v>0</v>
      </c>
    </row>
    <row r="38" spans="1:21" s="12" customFormat="1" ht="45" x14ac:dyDescent="0.2">
      <c r="A38" s="143" t="s">
        <v>151</v>
      </c>
      <c r="B38" s="452" t="s">
        <v>380</v>
      </c>
      <c r="C38" s="465">
        <v>52004</v>
      </c>
      <c r="D38" s="451">
        <v>108000</v>
      </c>
      <c r="E38" s="453">
        <v>44227</v>
      </c>
      <c r="F38" s="456">
        <v>1</v>
      </c>
      <c r="G38" s="456">
        <v>108000</v>
      </c>
      <c r="H38" s="456">
        <v>0</v>
      </c>
      <c r="I38" s="456">
        <v>0</v>
      </c>
      <c r="J38" s="456">
        <v>1</v>
      </c>
      <c r="K38" s="456">
        <v>108000</v>
      </c>
      <c r="L38" s="456">
        <v>1</v>
      </c>
      <c r="M38" s="456">
        <v>1</v>
      </c>
      <c r="N38" s="456">
        <v>108000</v>
      </c>
      <c r="O38" s="456">
        <v>0</v>
      </c>
      <c r="P38" s="456">
        <v>0</v>
      </c>
      <c r="Q38" s="455">
        <f t="shared" si="3"/>
        <v>0</v>
      </c>
      <c r="R38" s="456">
        <v>0</v>
      </c>
      <c r="S38" s="456">
        <v>0</v>
      </c>
      <c r="T38" s="456">
        <v>0</v>
      </c>
      <c r="U38" s="456">
        <v>0</v>
      </c>
    </row>
    <row r="39" spans="1:21" s="12" customFormat="1" ht="22.5" x14ac:dyDescent="0.2">
      <c r="A39" s="143" t="s">
        <v>245</v>
      </c>
      <c r="B39" s="452" t="s">
        <v>468</v>
      </c>
      <c r="C39" s="465">
        <v>65341</v>
      </c>
      <c r="D39" s="451">
        <v>342942.14</v>
      </c>
      <c r="E39" s="453">
        <v>44592</v>
      </c>
      <c r="F39" s="456">
        <v>2</v>
      </c>
      <c r="G39" s="456">
        <v>342942.14</v>
      </c>
      <c r="H39" s="456">
        <v>0</v>
      </c>
      <c r="I39" s="456">
        <v>0</v>
      </c>
      <c r="J39" s="456">
        <v>2</v>
      </c>
      <c r="K39" s="456">
        <v>329699.52</v>
      </c>
      <c r="L39" s="456">
        <v>2</v>
      </c>
      <c r="M39" s="456">
        <v>2</v>
      </c>
      <c r="N39" s="456">
        <v>329699.52</v>
      </c>
      <c r="O39" s="456">
        <v>0</v>
      </c>
      <c r="P39" s="456">
        <v>0</v>
      </c>
      <c r="Q39" s="455">
        <f t="shared" si="3"/>
        <v>0</v>
      </c>
      <c r="R39" s="456">
        <v>0</v>
      </c>
      <c r="S39" s="456">
        <v>0</v>
      </c>
      <c r="T39" s="456">
        <v>0</v>
      </c>
      <c r="U39" s="456">
        <v>0</v>
      </c>
    </row>
    <row r="40" spans="1:21" s="12" customFormat="1" ht="45" x14ac:dyDescent="0.2">
      <c r="A40" s="143" t="s">
        <v>365</v>
      </c>
      <c r="B40" s="452" t="s">
        <v>366</v>
      </c>
      <c r="C40" s="465">
        <v>65681</v>
      </c>
      <c r="D40" s="196">
        <v>67873.960000000006</v>
      </c>
      <c r="E40" s="453">
        <v>44630</v>
      </c>
      <c r="F40" s="456">
        <v>4</v>
      </c>
      <c r="G40" s="456">
        <v>271495.84000000003</v>
      </c>
      <c r="H40" s="456">
        <v>0</v>
      </c>
      <c r="I40" s="456">
        <v>0</v>
      </c>
      <c r="J40" s="456">
        <v>3</v>
      </c>
      <c r="K40" s="456">
        <v>203621.88</v>
      </c>
      <c r="L40" s="456">
        <v>3</v>
      </c>
      <c r="M40" s="456">
        <v>1</v>
      </c>
      <c r="N40" s="456">
        <v>67873.960000000006</v>
      </c>
      <c r="O40" s="456">
        <v>1</v>
      </c>
      <c r="P40" s="456">
        <v>67873.960000000006</v>
      </c>
      <c r="Q40" s="455">
        <f>K40-N40</f>
        <v>135747.91999999998</v>
      </c>
      <c r="R40" s="456">
        <v>0</v>
      </c>
      <c r="S40" s="456">
        <v>0</v>
      </c>
      <c r="T40" s="456">
        <v>0</v>
      </c>
      <c r="U40" s="456">
        <v>0</v>
      </c>
    </row>
    <row r="41" spans="1:21" s="12" customFormat="1" ht="22.5" x14ac:dyDescent="0.2">
      <c r="A41" s="143" t="s">
        <v>245</v>
      </c>
      <c r="B41" s="452" t="s">
        <v>547</v>
      </c>
      <c r="C41" s="465">
        <v>70321</v>
      </c>
      <c r="D41" s="451">
        <v>544545.09</v>
      </c>
      <c r="E41" s="453">
        <v>45107</v>
      </c>
      <c r="F41" s="456">
        <v>8</v>
      </c>
      <c r="G41" s="456">
        <v>1159764.5599999998</v>
      </c>
      <c r="H41" s="456">
        <v>0</v>
      </c>
      <c r="I41" s="456">
        <v>0</v>
      </c>
      <c r="J41" s="456">
        <v>4</v>
      </c>
      <c r="K41" s="458">
        <v>544545.09</v>
      </c>
      <c r="L41" s="456">
        <v>3</v>
      </c>
      <c r="M41" s="456">
        <v>3</v>
      </c>
      <c r="N41" s="456">
        <v>330912.73</v>
      </c>
      <c r="O41" s="456">
        <v>1</v>
      </c>
      <c r="P41" s="456">
        <v>200000</v>
      </c>
      <c r="Q41" s="455">
        <f t="shared" si="3"/>
        <v>213632.36</v>
      </c>
      <c r="R41" s="456">
        <v>1</v>
      </c>
      <c r="S41" s="456">
        <v>61965</v>
      </c>
      <c r="T41" s="456">
        <v>1</v>
      </c>
      <c r="U41" s="456">
        <v>61965</v>
      </c>
    </row>
    <row r="42" spans="1:21" s="12" customFormat="1" ht="22.5" x14ac:dyDescent="0.2">
      <c r="A42" s="357" t="s">
        <v>242</v>
      </c>
      <c r="B42" s="464" t="s">
        <v>551</v>
      </c>
      <c r="C42" s="465">
        <v>73022</v>
      </c>
      <c r="D42" s="451">
        <v>200000</v>
      </c>
      <c r="E42" s="453">
        <v>45124</v>
      </c>
      <c r="F42" s="456">
        <v>5</v>
      </c>
      <c r="G42" s="456">
        <v>250000</v>
      </c>
      <c r="H42" s="456">
        <v>0</v>
      </c>
      <c r="I42" s="456">
        <v>0</v>
      </c>
      <c r="J42" s="456">
        <v>4</v>
      </c>
      <c r="K42" s="456">
        <v>200000</v>
      </c>
      <c r="L42" s="456">
        <v>4</v>
      </c>
      <c r="M42" s="456">
        <v>4</v>
      </c>
      <c r="N42" s="456">
        <v>200000</v>
      </c>
      <c r="O42" s="456">
        <v>1</v>
      </c>
      <c r="P42" s="456">
        <v>50000</v>
      </c>
      <c r="Q42" s="455">
        <f t="shared" si="3"/>
        <v>0</v>
      </c>
      <c r="R42" s="456">
        <v>5</v>
      </c>
      <c r="S42" s="456">
        <v>135000</v>
      </c>
      <c r="T42" s="456">
        <v>3</v>
      </c>
      <c r="U42" s="456">
        <v>105000</v>
      </c>
    </row>
    <row r="43" spans="1:21" s="12" customFormat="1" ht="33.75" x14ac:dyDescent="0.2">
      <c r="A43" s="357" t="s">
        <v>242</v>
      </c>
      <c r="B43" s="464" t="s">
        <v>553</v>
      </c>
      <c r="C43" s="465">
        <v>73061</v>
      </c>
      <c r="D43" s="451">
        <v>200000</v>
      </c>
      <c r="E43" s="453">
        <v>45124</v>
      </c>
      <c r="F43" s="366">
        <v>4</v>
      </c>
      <c r="G43" s="366">
        <v>200000</v>
      </c>
      <c r="H43" s="366">
        <v>0</v>
      </c>
      <c r="I43" s="366">
        <v>0</v>
      </c>
      <c r="J43" s="366">
        <v>4</v>
      </c>
      <c r="K43" s="366">
        <v>200000</v>
      </c>
      <c r="L43" s="366">
        <v>4</v>
      </c>
      <c r="M43" s="366">
        <v>4</v>
      </c>
      <c r="N43" s="366">
        <v>200000</v>
      </c>
      <c r="O43" s="456">
        <v>0</v>
      </c>
      <c r="P43" s="456">
        <v>0</v>
      </c>
      <c r="Q43" s="455">
        <f t="shared" si="3"/>
        <v>0</v>
      </c>
      <c r="R43" s="456">
        <v>5</v>
      </c>
      <c r="S43" s="456">
        <v>135000</v>
      </c>
      <c r="T43" s="456">
        <v>3</v>
      </c>
      <c r="U43" s="456">
        <v>105000</v>
      </c>
    </row>
    <row r="44" spans="1:21" s="12" customFormat="1" ht="22.5" x14ac:dyDescent="0.2">
      <c r="A44" s="357" t="s">
        <v>242</v>
      </c>
      <c r="B44" s="464" t="s">
        <v>361</v>
      </c>
      <c r="C44" s="465">
        <v>73041</v>
      </c>
      <c r="D44" s="520">
        <v>312000</v>
      </c>
      <c r="E44" s="453">
        <v>45124</v>
      </c>
      <c r="F44" s="456">
        <v>8</v>
      </c>
      <c r="G44" s="456">
        <v>400000</v>
      </c>
      <c r="H44" s="456">
        <v>0</v>
      </c>
      <c r="I44" s="456">
        <v>0</v>
      </c>
      <c r="J44" s="456">
        <v>6</v>
      </c>
      <c r="K44" s="456">
        <v>300000</v>
      </c>
      <c r="L44" s="456">
        <v>6</v>
      </c>
      <c r="M44" s="456">
        <v>6</v>
      </c>
      <c r="N44" s="456">
        <v>300000</v>
      </c>
      <c r="O44" s="456">
        <v>2</v>
      </c>
      <c r="P44" s="456">
        <v>100000</v>
      </c>
      <c r="Q44" s="455">
        <f>K44-N44</f>
        <v>0</v>
      </c>
      <c r="R44" s="456">
        <v>11</v>
      </c>
      <c r="S44" s="456">
        <v>285000</v>
      </c>
      <c r="T44" s="456">
        <v>7</v>
      </c>
      <c r="U44" s="456">
        <v>245000</v>
      </c>
    </row>
    <row r="45" spans="1:21" s="12" customFormat="1" ht="33.75" x14ac:dyDescent="0.2">
      <c r="A45" s="357" t="s">
        <v>540</v>
      </c>
      <c r="B45" s="464" t="s">
        <v>573</v>
      </c>
      <c r="C45" s="465">
        <v>75541</v>
      </c>
      <c r="D45" s="520">
        <v>309169.91999999998</v>
      </c>
      <c r="E45" s="453">
        <v>45260</v>
      </c>
      <c r="F45" s="456">
        <v>9</v>
      </c>
      <c r="G45" s="456">
        <v>411395.73</v>
      </c>
      <c r="H45" s="456">
        <v>0</v>
      </c>
      <c r="I45" s="456">
        <v>0</v>
      </c>
      <c r="J45" s="456">
        <v>7</v>
      </c>
      <c r="K45" s="456">
        <v>309169.91999999998</v>
      </c>
      <c r="L45" s="456">
        <v>7</v>
      </c>
      <c r="M45" s="456">
        <v>7</v>
      </c>
      <c r="N45" s="456">
        <v>309169.91999999998</v>
      </c>
      <c r="O45" s="456">
        <v>2</v>
      </c>
      <c r="P45" s="456">
        <v>99000</v>
      </c>
      <c r="Q45" s="455">
        <f>K45-N45</f>
        <v>0</v>
      </c>
      <c r="R45" s="456">
        <v>2</v>
      </c>
      <c r="S45" s="456">
        <v>35244.97</v>
      </c>
      <c r="T45" s="456">
        <v>1</v>
      </c>
      <c r="U45" s="456">
        <v>14105.76</v>
      </c>
    </row>
    <row r="46" spans="1:21" s="12" customFormat="1" ht="68.25" customHeight="1" x14ac:dyDescent="0.2">
      <c r="A46" s="357" t="s">
        <v>541</v>
      </c>
      <c r="B46" s="464" t="s">
        <v>574</v>
      </c>
      <c r="C46" s="465">
        <v>75542</v>
      </c>
      <c r="D46" s="196">
        <v>49493.120000000003</v>
      </c>
      <c r="E46" s="453">
        <v>45260</v>
      </c>
      <c r="F46" s="456">
        <v>2</v>
      </c>
      <c r="G46" s="456">
        <v>98493.119999999995</v>
      </c>
      <c r="H46" s="456">
        <v>0</v>
      </c>
      <c r="I46" s="456">
        <v>0</v>
      </c>
      <c r="J46" s="456">
        <v>1</v>
      </c>
      <c r="K46" s="456">
        <v>49493.120000000003</v>
      </c>
      <c r="L46" s="456">
        <v>1</v>
      </c>
      <c r="M46" s="456">
        <v>1</v>
      </c>
      <c r="N46" s="456">
        <v>49493.120000000003</v>
      </c>
      <c r="O46" s="456">
        <v>1</v>
      </c>
      <c r="P46" s="456">
        <v>49000</v>
      </c>
      <c r="Q46" s="455">
        <f t="shared" si="3"/>
        <v>0</v>
      </c>
      <c r="R46" s="456">
        <v>0</v>
      </c>
      <c r="S46" s="456">
        <v>0</v>
      </c>
      <c r="T46" s="456">
        <v>0</v>
      </c>
      <c r="U46" s="456">
        <v>0</v>
      </c>
    </row>
    <row r="47" spans="1:21" s="12" customFormat="1" ht="22.5" x14ac:dyDescent="0.2">
      <c r="A47" s="495" t="s">
        <v>540</v>
      </c>
      <c r="B47" s="496" t="s">
        <v>590</v>
      </c>
      <c r="C47" s="470">
        <v>76342</v>
      </c>
      <c r="D47" s="521">
        <v>496278.95</v>
      </c>
      <c r="E47" s="471">
        <v>45290</v>
      </c>
      <c r="F47" s="456">
        <v>15</v>
      </c>
      <c r="G47" s="456">
        <v>713398.89000000013</v>
      </c>
      <c r="H47" s="456">
        <v>0</v>
      </c>
      <c r="I47" s="456">
        <v>0</v>
      </c>
      <c r="J47" s="456">
        <v>10</v>
      </c>
      <c r="K47" s="456">
        <v>495578.63</v>
      </c>
      <c r="L47" s="456">
        <v>10</v>
      </c>
      <c r="M47" s="456">
        <v>10</v>
      </c>
      <c r="N47" s="456">
        <v>495578.63</v>
      </c>
      <c r="O47" s="456">
        <v>5</v>
      </c>
      <c r="P47" s="456">
        <v>217120.25999999998</v>
      </c>
      <c r="Q47" s="455">
        <f t="shared" si="3"/>
        <v>0</v>
      </c>
      <c r="R47" s="456">
        <v>6</v>
      </c>
      <c r="S47" s="456">
        <v>150938.61000000002</v>
      </c>
      <c r="T47" s="456">
        <v>4</v>
      </c>
      <c r="U47" s="456">
        <v>93677.930000000008</v>
      </c>
    </row>
    <row r="48" spans="1:21" s="12" customFormat="1" ht="33.75" x14ac:dyDescent="0.2">
      <c r="A48" s="357" t="s">
        <v>275</v>
      </c>
      <c r="B48" s="464" t="s">
        <v>635</v>
      </c>
      <c r="C48" s="465">
        <v>79222</v>
      </c>
      <c r="D48" s="512">
        <v>206479.03</v>
      </c>
      <c r="E48" s="480">
        <v>45412</v>
      </c>
      <c r="F48" s="456">
        <v>2</v>
      </c>
      <c r="G48" s="456">
        <v>47743.55</v>
      </c>
      <c r="H48" s="456">
        <v>0</v>
      </c>
      <c r="I48" s="456">
        <v>0</v>
      </c>
      <c r="J48" s="456">
        <v>1</v>
      </c>
      <c r="K48" s="456">
        <v>19904.89</v>
      </c>
      <c r="L48" s="456">
        <v>1</v>
      </c>
      <c r="M48" s="456">
        <v>1</v>
      </c>
      <c r="N48" s="456">
        <v>19904.89</v>
      </c>
      <c r="O48" s="456">
        <v>1</v>
      </c>
      <c r="P48" s="456">
        <v>27838.66</v>
      </c>
      <c r="Q48" s="455">
        <f t="shared" si="3"/>
        <v>0</v>
      </c>
      <c r="R48" s="456">
        <v>2</v>
      </c>
      <c r="S48" s="456">
        <v>19904.89</v>
      </c>
      <c r="T48" s="456">
        <v>1</v>
      </c>
      <c r="U48" s="456">
        <v>15920</v>
      </c>
    </row>
    <row r="49" spans="1:24" s="12" customFormat="1" ht="22.5" x14ac:dyDescent="0.2">
      <c r="A49" s="357" t="s">
        <v>236</v>
      </c>
      <c r="B49" s="464" t="s">
        <v>634</v>
      </c>
      <c r="C49" s="465">
        <v>79842</v>
      </c>
      <c r="D49" s="512">
        <v>466408.09</v>
      </c>
      <c r="E49" s="480">
        <v>45472</v>
      </c>
      <c r="F49" s="456">
        <v>20</v>
      </c>
      <c r="G49" s="456">
        <v>796144.55000000016</v>
      </c>
      <c r="H49" s="456">
        <v>0</v>
      </c>
      <c r="I49" s="456">
        <v>0</v>
      </c>
      <c r="J49" s="456">
        <v>13</v>
      </c>
      <c r="K49" s="456">
        <v>561299.14</v>
      </c>
      <c r="L49" s="456">
        <v>13</v>
      </c>
      <c r="M49" s="456">
        <v>13</v>
      </c>
      <c r="N49" s="456">
        <v>561299.14</v>
      </c>
      <c r="O49" s="456">
        <v>7</v>
      </c>
      <c r="P49" s="456">
        <v>233115.23</v>
      </c>
      <c r="Q49" s="455">
        <f t="shared" si="3"/>
        <v>0</v>
      </c>
      <c r="R49" s="456">
        <v>9</v>
      </c>
      <c r="S49" s="456">
        <v>335852.79999999999</v>
      </c>
      <c r="T49" s="456">
        <v>5</v>
      </c>
      <c r="U49" s="456">
        <v>144266.69</v>
      </c>
    </row>
    <row r="50" spans="1:24" s="12" customFormat="1" ht="11.25" x14ac:dyDescent="0.2">
      <c r="A50" s="19" t="s">
        <v>1</v>
      </c>
      <c r="B50" s="19"/>
      <c r="C50" s="60"/>
      <c r="D50" s="20">
        <f>SUM(D27:D49)</f>
        <v>4189093.76</v>
      </c>
      <c r="E50" s="20"/>
      <c r="F50" s="20">
        <f t="shared" ref="F50:S50" si="4">SUM(F27:F49)</f>
        <v>114</v>
      </c>
      <c r="G50" s="20">
        <f t="shared" si="4"/>
        <v>6227612.4299999997</v>
      </c>
      <c r="H50" s="20">
        <f t="shared" si="4"/>
        <v>0</v>
      </c>
      <c r="I50" s="20">
        <f t="shared" si="4"/>
        <v>0</v>
      </c>
      <c r="J50" s="20">
        <f t="shared" si="4"/>
        <v>73</v>
      </c>
      <c r="K50" s="20">
        <f t="shared" si="4"/>
        <v>4209312.1899999995</v>
      </c>
      <c r="L50" s="20">
        <f t="shared" si="4"/>
        <v>72</v>
      </c>
      <c r="M50" s="20">
        <f t="shared" si="4"/>
        <v>70</v>
      </c>
      <c r="N50" s="20">
        <f t="shared" si="4"/>
        <v>3859931.91</v>
      </c>
      <c r="O50" s="20">
        <f t="shared" si="4"/>
        <v>37</v>
      </c>
      <c r="P50" s="20">
        <f t="shared" si="4"/>
        <v>1411038.97</v>
      </c>
      <c r="Q50" s="20">
        <f t="shared" si="4"/>
        <v>349380.27999999997</v>
      </c>
      <c r="R50" s="20">
        <f t="shared" si="4"/>
        <v>67</v>
      </c>
      <c r="S50" s="20">
        <f t="shared" si="4"/>
        <v>1824732.69</v>
      </c>
      <c r="T50" s="530">
        <f>SUM(T27:T49)</f>
        <v>48</v>
      </c>
      <c r="U50" s="530">
        <f>SUM(U27:U49)</f>
        <v>1223996.5999999999</v>
      </c>
      <c r="V50" s="96"/>
      <c r="W50" s="96"/>
    </row>
    <row r="51" spans="1:24" ht="15" customHeight="1" x14ac:dyDescent="0.25">
      <c r="A51" s="219" t="s">
        <v>390</v>
      </c>
      <c r="B51" s="140"/>
      <c r="C51" s="140"/>
      <c r="D51" s="140"/>
      <c r="E51" s="140"/>
      <c r="F51" s="140"/>
      <c r="G51" s="140"/>
      <c r="H51" s="140"/>
      <c r="I51" s="140"/>
      <c r="J51" s="140"/>
      <c r="K51" s="140"/>
      <c r="L51" s="140"/>
      <c r="M51" s="140"/>
      <c r="N51" s="140"/>
      <c r="O51" s="140"/>
      <c r="P51" s="140"/>
      <c r="Q51" s="140"/>
      <c r="R51" s="140"/>
    </row>
    <row r="52" spans="1:24" s="23" customFormat="1" ht="22.15" customHeight="1" x14ac:dyDescent="0.25">
      <c r="A52" s="1148" t="s">
        <v>732</v>
      </c>
      <c r="B52" s="1148"/>
      <c r="C52" s="1148"/>
      <c r="D52" s="1148"/>
      <c r="E52" s="1148"/>
      <c r="F52" s="1148"/>
      <c r="G52" s="1148"/>
      <c r="H52" s="1148"/>
      <c r="I52" s="1148"/>
      <c r="J52" s="1148"/>
      <c r="K52" s="1148"/>
      <c r="L52" s="1148"/>
      <c r="M52" s="1148"/>
      <c r="N52" s="1148"/>
      <c r="O52" s="1148"/>
      <c r="P52" s="1148"/>
      <c r="Q52" s="1148"/>
      <c r="R52" s="1148"/>
      <c r="S52" s="1148"/>
      <c r="T52" s="1148"/>
      <c r="U52" s="1148"/>
      <c r="V52" s="90"/>
      <c r="X52" s="90"/>
    </row>
  </sheetData>
  <mergeCells count="37">
    <mergeCell ref="A21:U21"/>
    <mergeCell ref="H2:I4"/>
    <mergeCell ref="L3:N3"/>
    <mergeCell ref="O3:P4"/>
    <mergeCell ref="L4:L5"/>
    <mergeCell ref="A52:U52"/>
    <mergeCell ref="L25:L26"/>
    <mergeCell ref="M25:N25"/>
    <mergeCell ref="A1:U1"/>
    <mergeCell ref="A2:A5"/>
    <mergeCell ref="B2:B5"/>
    <mergeCell ref="C2:C5"/>
    <mergeCell ref="D2:D5"/>
    <mergeCell ref="E2:E5"/>
    <mergeCell ref="F2:G4"/>
    <mergeCell ref="J2:K4"/>
    <mergeCell ref="L2:P2"/>
    <mergeCell ref="Q2:Q4"/>
    <mergeCell ref="R2:S4"/>
    <mergeCell ref="T2:U4"/>
    <mergeCell ref="M4:N4"/>
    <mergeCell ref="H33:U33"/>
    <mergeCell ref="A22:U22"/>
    <mergeCell ref="A23:A26"/>
    <mergeCell ref="B23:B26"/>
    <mergeCell ref="C23:C26"/>
    <mergeCell ref="D23:D26"/>
    <mergeCell ref="E23:E26"/>
    <mergeCell ref="F23:G25"/>
    <mergeCell ref="H23:I25"/>
    <mergeCell ref="J23:K25"/>
    <mergeCell ref="L23:P23"/>
    <mergeCell ref="Q23:Q25"/>
    <mergeCell ref="R23:S25"/>
    <mergeCell ref="T23:U25"/>
    <mergeCell ref="L24:N24"/>
    <mergeCell ref="O24:P25"/>
  </mergeCells>
  <printOptions horizontalCentered="1"/>
  <pageMargins left="0.70866141732283472" right="0.70866141732283472" top="0.74803149606299213" bottom="0.74803149606299213" header="0.31496062992125984" footer="0.31496062992125984"/>
  <pageSetup paperSize="9" scale="58" orientation="landscape" r:id="rId1"/>
  <rowBreaks count="1" manualBreakCount="1">
    <brk id="21" max="18" man="1"/>
  </rowBreaks>
  <colBreaks count="1" manualBreakCount="1">
    <brk id="21"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C48"/>
  <sheetViews>
    <sheetView view="pageBreakPreview" topLeftCell="C25" zoomScaleNormal="100" zoomScaleSheetLayoutView="100" zoomScalePageLayoutView="70" workbookViewId="0">
      <selection activeCell="T45" sqref="T45:U45"/>
    </sheetView>
  </sheetViews>
  <sheetFormatPr defaultColWidth="6.42578125" defaultRowHeight="11.25" x14ac:dyDescent="0.2"/>
  <cols>
    <col min="1" max="1" width="6.42578125" style="12"/>
    <col min="2" max="2" width="42.140625" style="12" customWidth="1"/>
    <col min="3" max="3" width="9.140625" style="12" customWidth="1"/>
    <col min="4" max="4" width="8.85546875" style="12" customWidth="1"/>
    <col min="5" max="5" width="7.85546875" style="12" customWidth="1"/>
    <col min="6" max="6" width="3.28515625" style="12" bestFit="1" customWidth="1"/>
    <col min="7" max="7" width="9.42578125" style="12" customWidth="1"/>
    <col min="8" max="8" width="3.28515625" style="12" bestFit="1" customWidth="1"/>
    <col min="9" max="9" width="6.140625" style="12" customWidth="1"/>
    <col min="10" max="10" width="3.28515625" style="12" bestFit="1" customWidth="1"/>
    <col min="11" max="11" width="8.28515625" style="12" customWidth="1"/>
    <col min="12" max="13" width="3.28515625" style="12" bestFit="1" customWidth="1"/>
    <col min="14" max="14" width="8" style="12" customWidth="1"/>
    <col min="15" max="15" width="3.140625" style="12" customWidth="1"/>
    <col min="16" max="16" width="8.5703125" style="12" customWidth="1"/>
    <col min="17" max="17" width="9" style="12" customWidth="1"/>
    <col min="18" max="18" width="3.28515625" style="12" bestFit="1" customWidth="1"/>
    <col min="19" max="19" width="8.85546875" style="12" customWidth="1"/>
    <col min="20" max="20" width="3.28515625" style="12" bestFit="1" customWidth="1"/>
    <col min="21" max="21" width="9.7109375" style="12" customWidth="1"/>
    <col min="22" max="22" width="6.42578125" style="96"/>
    <col min="23" max="23" width="7.140625" style="96" bestFit="1" customWidth="1"/>
    <col min="24" max="28" width="6.42578125" style="12"/>
    <col min="29" max="29" width="11.28515625" style="12" bestFit="1" customWidth="1"/>
    <col min="30" max="16384" width="6.42578125" style="12"/>
  </cols>
  <sheetData>
    <row r="1" spans="1:23" x14ac:dyDescent="0.2">
      <c r="A1" s="1149" t="s">
        <v>651</v>
      </c>
      <c r="B1" s="1149"/>
      <c r="C1" s="1150"/>
      <c r="D1" s="1149"/>
      <c r="E1" s="1149"/>
      <c r="F1" s="1149"/>
      <c r="G1" s="1149"/>
      <c r="H1" s="1150"/>
      <c r="I1" s="1150"/>
      <c r="J1" s="1149"/>
      <c r="K1" s="1149"/>
      <c r="L1" s="1149"/>
      <c r="M1" s="1149"/>
      <c r="N1" s="1149"/>
      <c r="O1" s="1149"/>
      <c r="P1" s="1149"/>
      <c r="Q1" s="1149"/>
      <c r="R1" s="1149"/>
      <c r="S1" s="1149"/>
      <c r="T1" s="1149"/>
      <c r="U1" s="1149"/>
      <c r="V1" s="12"/>
    </row>
    <row r="2" spans="1:23"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row>
    <row r="3" spans="1:23"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row>
    <row r="4" spans="1:23"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row>
    <row r="5" spans="1:23" ht="21"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row>
    <row r="6" spans="1:23" ht="22.5" x14ac:dyDescent="0.2">
      <c r="A6" s="340" t="s">
        <v>540</v>
      </c>
      <c r="B6" s="452" t="s">
        <v>335</v>
      </c>
      <c r="C6" s="465">
        <v>40581</v>
      </c>
      <c r="D6" s="341">
        <v>300000</v>
      </c>
      <c r="E6" s="509">
        <v>44043</v>
      </c>
      <c r="F6" s="456">
        <v>15</v>
      </c>
      <c r="G6" s="456">
        <v>372692.43</v>
      </c>
      <c r="H6" s="456">
        <v>0</v>
      </c>
      <c r="I6" s="456">
        <v>0</v>
      </c>
      <c r="J6" s="456">
        <v>12</v>
      </c>
      <c r="K6" s="456">
        <v>294068.89</v>
      </c>
      <c r="L6" s="456">
        <v>12</v>
      </c>
      <c r="M6" s="456">
        <v>12</v>
      </c>
      <c r="N6" s="456">
        <v>294068.89</v>
      </c>
      <c r="O6" s="456">
        <v>3</v>
      </c>
      <c r="P6" s="456">
        <v>67792.429999999993</v>
      </c>
      <c r="Q6" s="456">
        <f t="shared" ref="Q6:Q19" si="0">K6-N6</f>
        <v>0</v>
      </c>
      <c r="R6" s="456">
        <v>6</v>
      </c>
      <c r="S6" s="456">
        <v>135640.18</v>
      </c>
      <c r="T6" s="456">
        <v>3</v>
      </c>
      <c r="U6" s="456">
        <v>61169.459999999992</v>
      </c>
      <c r="V6" s="12"/>
      <c r="W6" s="12"/>
    </row>
    <row r="7" spans="1:23" ht="22.5" x14ac:dyDescent="0.2">
      <c r="A7" s="340" t="s">
        <v>540</v>
      </c>
      <c r="B7" s="452" t="s">
        <v>291</v>
      </c>
      <c r="C7" s="465">
        <v>40921</v>
      </c>
      <c r="D7" s="341">
        <v>400000</v>
      </c>
      <c r="E7" s="509">
        <v>44043</v>
      </c>
      <c r="F7" s="456">
        <v>1</v>
      </c>
      <c r="G7" s="456">
        <v>22000</v>
      </c>
      <c r="H7" s="456">
        <v>0</v>
      </c>
      <c r="I7" s="456">
        <v>0</v>
      </c>
      <c r="J7" s="456">
        <v>1</v>
      </c>
      <c r="K7" s="456">
        <v>22000</v>
      </c>
      <c r="L7" s="456">
        <v>1</v>
      </c>
      <c r="M7" s="456">
        <v>1</v>
      </c>
      <c r="N7" s="456">
        <v>22000</v>
      </c>
      <c r="O7" s="456">
        <v>0</v>
      </c>
      <c r="P7" s="456">
        <v>0</v>
      </c>
      <c r="Q7" s="456">
        <f t="shared" si="0"/>
        <v>0</v>
      </c>
      <c r="R7" s="456">
        <v>0</v>
      </c>
      <c r="S7" s="456">
        <v>0</v>
      </c>
      <c r="T7" s="456">
        <v>0</v>
      </c>
      <c r="U7" s="456">
        <v>0</v>
      </c>
      <c r="V7" s="12"/>
      <c r="W7" s="12"/>
    </row>
    <row r="8" spans="1:23" ht="33.75" x14ac:dyDescent="0.2">
      <c r="A8" s="340" t="s">
        <v>540</v>
      </c>
      <c r="B8" s="452" t="s">
        <v>292</v>
      </c>
      <c r="C8" s="465">
        <v>41682</v>
      </c>
      <c r="D8" s="341">
        <v>250000</v>
      </c>
      <c r="E8" s="509">
        <v>44043</v>
      </c>
      <c r="F8" s="456">
        <v>12</v>
      </c>
      <c r="G8" s="456">
        <v>300000</v>
      </c>
      <c r="H8" s="456">
        <v>0</v>
      </c>
      <c r="I8" s="456">
        <v>0</v>
      </c>
      <c r="J8" s="456">
        <v>9</v>
      </c>
      <c r="K8" s="456">
        <v>223500</v>
      </c>
      <c r="L8" s="456">
        <v>9</v>
      </c>
      <c r="M8" s="456">
        <v>9</v>
      </c>
      <c r="N8" s="456">
        <v>223500</v>
      </c>
      <c r="O8" s="456">
        <v>3</v>
      </c>
      <c r="P8" s="456">
        <v>75000</v>
      </c>
      <c r="Q8" s="456">
        <f t="shared" si="0"/>
        <v>0</v>
      </c>
      <c r="R8" s="456">
        <v>4</v>
      </c>
      <c r="S8" s="456">
        <v>99000</v>
      </c>
      <c r="T8" s="456">
        <v>1</v>
      </c>
      <c r="U8" s="456">
        <v>23258.37</v>
      </c>
      <c r="V8" s="12"/>
      <c r="W8" s="12"/>
    </row>
    <row r="9" spans="1:23" ht="33.75" x14ac:dyDescent="0.2">
      <c r="A9" s="340" t="s">
        <v>540</v>
      </c>
      <c r="B9" s="452" t="s">
        <v>293</v>
      </c>
      <c r="C9" s="465">
        <v>41741</v>
      </c>
      <c r="D9" s="341">
        <v>250000</v>
      </c>
      <c r="E9" s="509">
        <v>44043</v>
      </c>
      <c r="F9" s="456">
        <v>8</v>
      </c>
      <c r="G9" s="456">
        <v>184795</v>
      </c>
      <c r="H9" s="456">
        <v>0</v>
      </c>
      <c r="I9" s="456">
        <v>0</v>
      </c>
      <c r="J9" s="456">
        <v>6</v>
      </c>
      <c r="K9" s="456">
        <v>142310</v>
      </c>
      <c r="L9" s="456">
        <v>6</v>
      </c>
      <c r="M9" s="456">
        <v>6</v>
      </c>
      <c r="N9" s="456">
        <v>142310</v>
      </c>
      <c r="O9" s="456">
        <v>2</v>
      </c>
      <c r="P9" s="456">
        <v>37375</v>
      </c>
      <c r="Q9" s="456">
        <f t="shared" si="0"/>
        <v>0</v>
      </c>
      <c r="R9" s="456">
        <v>3</v>
      </c>
      <c r="S9" s="456">
        <v>57136.479999999996</v>
      </c>
      <c r="T9" s="456">
        <v>1</v>
      </c>
      <c r="U9" s="456">
        <v>22000</v>
      </c>
      <c r="V9" s="12"/>
      <c r="W9" s="12"/>
    </row>
    <row r="10" spans="1:23" ht="45" x14ac:dyDescent="0.2">
      <c r="A10" s="340" t="s">
        <v>541</v>
      </c>
      <c r="B10" s="452" t="s">
        <v>336</v>
      </c>
      <c r="C10" s="465">
        <v>41743</v>
      </c>
      <c r="D10" s="341">
        <v>300000</v>
      </c>
      <c r="E10" s="509">
        <v>44043</v>
      </c>
      <c r="F10" s="456">
        <v>1</v>
      </c>
      <c r="G10" s="456">
        <v>27500</v>
      </c>
      <c r="H10" s="456">
        <v>0</v>
      </c>
      <c r="I10" s="456">
        <v>0</v>
      </c>
      <c r="J10" s="456">
        <v>0</v>
      </c>
      <c r="K10" s="456">
        <v>0</v>
      </c>
      <c r="L10" s="456">
        <v>0</v>
      </c>
      <c r="M10" s="456">
        <v>0</v>
      </c>
      <c r="N10" s="456">
        <v>0</v>
      </c>
      <c r="O10" s="456">
        <v>1</v>
      </c>
      <c r="P10" s="456">
        <v>27500</v>
      </c>
      <c r="Q10" s="456">
        <f t="shared" si="0"/>
        <v>0</v>
      </c>
      <c r="R10" s="456">
        <v>0</v>
      </c>
      <c r="S10" s="456">
        <v>0</v>
      </c>
      <c r="T10" s="456">
        <v>0</v>
      </c>
      <c r="U10" s="456">
        <v>0</v>
      </c>
      <c r="V10" s="12"/>
      <c r="W10" s="12"/>
    </row>
    <row r="11" spans="1:23" ht="22.5" x14ac:dyDescent="0.2">
      <c r="A11" s="340" t="s">
        <v>242</v>
      </c>
      <c r="B11" s="452" t="s">
        <v>294</v>
      </c>
      <c r="C11" s="465">
        <v>45502</v>
      </c>
      <c r="D11" s="341">
        <v>300000</v>
      </c>
      <c r="E11" s="509">
        <v>44104</v>
      </c>
      <c r="F11" s="456">
        <v>7</v>
      </c>
      <c r="G11" s="456">
        <v>174000</v>
      </c>
      <c r="H11" s="456">
        <v>0</v>
      </c>
      <c r="I11" s="456">
        <v>0</v>
      </c>
      <c r="J11" s="456">
        <v>7</v>
      </c>
      <c r="K11" s="456">
        <v>174000</v>
      </c>
      <c r="L11" s="456">
        <v>7</v>
      </c>
      <c r="M11" s="456">
        <v>7</v>
      </c>
      <c r="N11" s="456">
        <v>174000</v>
      </c>
      <c r="O11" s="456">
        <v>0</v>
      </c>
      <c r="P11" s="456">
        <v>0</v>
      </c>
      <c r="Q11" s="456">
        <f t="shared" si="0"/>
        <v>0</v>
      </c>
      <c r="R11" s="456">
        <v>12</v>
      </c>
      <c r="S11" s="456">
        <v>149000</v>
      </c>
      <c r="T11" s="366">
        <v>11</v>
      </c>
      <c r="U11" s="366">
        <v>141500</v>
      </c>
      <c r="V11" s="12"/>
      <c r="W11" s="12"/>
    </row>
    <row r="12" spans="1:23" ht="22.5" x14ac:dyDescent="0.2">
      <c r="A12" s="340" t="s">
        <v>242</v>
      </c>
      <c r="B12" s="452" t="s">
        <v>295</v>
      </c>
      <c r="C12" s="465">
        <v>45621</v>
      </c>
      <c r="D12" s="341">
        <v>250000</v>
      </c>
      <c r="E12" s="509">
        <v>44104</v>
      </c>
      <c r="F12" s="456">
        <v>1</v>
      </c>
      <c r="G12" s="456">
        <v>25000</v>
      </c>
      <c r="H12" s="456">
        <v>0</v>
      </c>
      <c r="I12" s="456">
        <v>0</v>
      </c>
      <c r="J12" s="456">
        <v>1</v>
      </c>
      <c r="K12" s="456">
        <v>25000</v>
      </c>
      <c r="L12" s="456">
        <v>1</v>
      </c>
      <c r="M12" s="456">
        <v>1</v>
      </c>
      <c r="N12" s="456">
        <v>25000</v>
      </c>
      <c r="O12" s="456">
        <v>0</v>
      </c>
      <c r="P12" s="456">
        <v>0</v>
      </c>
      <c r="Q12" s="456">
        <f t="shared" si="0"/>
        <v>0</v>
      </c>
      <c r="R12" s="456">
        <v>2</v>
      </c>
      <c r="S12" s="456">
        <v>25000</v>
      </c>
      <c r="T12" s="456">
        <v>2</v>
      </c>
      <c r="U12" s="456">
        <v>25000</v>
      </c>
      <c r="V12" s="12"/>
      <c r="W12" s="12"/>
    </row>
    <row r="13" spans="1:23" ht="90" x14ac:dyDescent="0.2">
      <c r="A13" s="340" t="s">
        <v>238</v>
      </c>
      <c r="B13" s="452" t="s">
        <v>475</v>
      </c>
      <c r="C13" s="465">
        <v>63902</v>
      </c>
      <c r="D13" s="341">
        <v>800000</v>
      </c>
      <c r="E13" s="509">
        <v>45000</v>
      </c>
      <c r="F13" s="456">
        <v>4</v>
      </c>
      <c r="G13" s="456">
        <v>800000</v>
      </c>
      <c r="H13" s="456">
        <v>0</v>
      </c>
      <c r="I13" s="456">
        <v>0</v>
      </c>
      <c r="J13" s="456">
        <v>4</v>
      </c>
      <c r="K13" s="456">
        <v>800000</v>
      </c>
      <c r="L13" s="456">
        <v>4</v>
      </c>
      <c r="M13" s="456">
        <v>4</v>
      </c>
      <c r="N13" s="456">
        <v>800000</v>
      </c>
      <c r="O13" s="456">
        <v>0</v>
      </c>
      <c r="P13" s="456">
        <v>0</v>
      </c>
      <c r="Q13" s="456">
        <f t="shared" si="0"/>
        <v>0</v>
      </c>
      <c r="R13" s="456">
        <v>0</v>
      </c>
      <c r="S13" s="456">
        <v>0</v>
      </c>
      <c r="T13" s="456">
        <v>0</v>
      </c>
      <c r="U13" s="456">
        <v>0</v>
      </c>
      <c r="V13" s="12"/>
      <c r="W13" s="12"/>
    </row>
    <row r="14" spans="1:23" ht="45" x14ac:dyDescent="0.2">
      <c r="A14" s="340" t="s">
        <v>273</v>
      </c>
      <c r="B14" s="452" t="s">
        <v>476</v>
      </c>
      <c r="C14" s="465">
        <v>63861</v>
      </c>
      <c r="D14" s="341">
        <v>150000</v>
      </c>
      <c r="E14" s="509">
        <v>45000</v>
      </c>
      <c r="F14" s="456">
        <v>2</v>
      </c>
      <c r="G14" s="456">
        <v>150000</v>
      </c>
      <c r="H14" s="456">
        <v>0</v>
      </c>
      <c r="I14" s="456">
        <v>0</v>
      </c>
      <c r="J14" s="456">
        <v>2</v>
      </c>
      <c r="K14" s="456">
        <v>150000</v>
      </c>
      <c r="L14" s="456">
        <v>2</v>
      </c>
      <c r="M14" s="456">
        <v>2</v>
      </c>
      <c r="N14" s="456">
        <v>150000</v>
      </c>
      <c r="O14" s="456">
        <v>0</v>
      </c>
      <c r="P14" s="456">
        <v>0</v>
      </c>
      <c r="Q14" s="456">
        <f t="shared" si="0"/>
        <v>0</v>
      </c>
      <c r="R14" s="456">
        <v>0</v>
      </c>
      <c r="S14" s="456">
        <v>0</v>
      </c>
      <c r="T14" s="456">
        <v>0</v>
      </c>
      <c r="U14" s="456">
        <v>0</v>
      </c>
      <c r="V14" s="12"/>
      <c r="W14" s="12"/>
    </row>
    <row r="15" spans="1:23" ht="56.25" x14ac:dyDescent="0.2">
      <c r="A15" s="340" t="s">
        <v>245</v>
      </c>
      <c r="B15" s="452" t="s">
        <v>477</v>
      </c>
      <c r="C15" s="465">
        <v>63882</v>
      </c>
      <c r="D15" s="341">
        <v>600000</v>
      </c>
      <c r="E15" s="509">
        <v>45000</v>
      </c>
      <c r="F15" s="456">
        <v>3</v>
      </c>
      <c r="G15" s="456">
        <v>600000</v>
      </c>
      <c r="H15" s="456">
        <v>0</v>
      </c>
      <c r="I15" s="456">
        <v>0</v>
      </c>
      <c r="J15" s="456">
        <v>3</v>
      </c>
      <c r="K15" s="456">
        <v>600000</v>
      </c>
      <c r="L15" s="456">
        <v>3</v>
      </c>
      <c r="M15" s="456">
        <v>3</v>
      </c>
      <c r="N15" s="456">
        <v>600000</v>
      </c>
      <c r="O15" s="456">
        <v>0</v>
      </c>
      <c r="P15" s="456">
        <v>0</v>
      </c>
      <c r="Q15" s="456">
        <f t="shared" si="0"/>
        <v>0</v>
      </c>
      <c r="R15" s="456">
        <v>0</v>
      </c>
      <c r="S15" s="456">
        <v>0</v>
      </c>
      <c r="T15" s="456">
        <v>0</v>
      </c>
      <c r="U15" s="456">
        <v>0</v>
      </c>
      <c r="V15" s="12"/>
      <c r="W15" s="12"/>
    </row>
    <row r="16" spans="1:23" ht="67.5" x14ac:dyDescent="0.2">
      <c r="A16" s="340" t="s">
        <v>245</v>
      </c>
      <c r="B16" s="452" t="s">
        <v>478</v>
      </c>
      <c r="C16" s="465">
        <v>63901</v>
      </c>
      <c r="D16" s="341">
        <v>800000</v>
      </c>
      <c r="E16" s="509">
        <v>45000</v>
      </c>
      <c r="F16" s="456">
        <v>4</v>
      </c>
      <c r="G16" s="456">
        <v>800000</v>
      </c>
      <c r="H16" s="456">
        <v>0</v>
      </c>
      <c r="I16" s="456">
        <v>0</v>
      </c>
      <c r="J16" s="456">
        <v>4</v>
      </c>
      <c r="K16" s="456">
        <v>800000</v>
      </c>
      <c r="L16" s="456">
        <v>4</v>
      </c>
      <c r="M16" s="456">
        <v>4</v>
      </c>
      <c r="N16" s="456">
        <v>800000</v>
      </c>
      <c r="O16" s="456">
        <v>0</v>
      </c>
      <c r="P16" s="456">
        <v>0</v>
      </c>
      <c r="Q16" s="456">
        <f t="shared" si="0"/>
        <v>0</v>
      </c>
      <c r="R16" s="456">
        <v>0</v>
      </c>
      <c r="S16" s="456">
        <v>0</v>
      </c>
      <c r="T16" s="456">
        <v>0</v>
      </c>
      <c r="U16" s="456">
        <v>0</v>
      </c>
      <c r="V16" s="12"/>
      <c r="W16" s="12"/>
    </row>
    <row r="17" spans="1:29" ht="22.5" x14ac:dyDescent="0.2">
      <c r="A17" s="143" t="s">
        <v>242</v>
      </c>
      <c r="B17" s="452" t="s">
        <v>565</v>
      </c>
      <c r="C17" s="465">
        <v>74245</v>
      </c>
      <c r="D17" s="341">
        <v>326000</v>
      </c>
      <c r="E17" s="453">
        <v>45327</v>
      </c>
      <c r="F17" s="456">
        <v>11</v>
      </c>
      <c r="G17" s="456">
        <v>275000</v>
      </c>
      <c r="H17" s="456">
        <v>0</v>
      </c>
      <c r="I17" s="456">
        <v>0</v>
      </c>
      <c r="J17" s="456">
        <v>10</v>
      </c>
      <c r="K17" s="456">
        <v>250000</v>
      </c>
      <c r="L17" s="456">
        <v>10</v>
      </c>
      <c r="M17" s="456">
        <v>10</v>
      </c>
      <c r="N17" s="456">
        <v>250000</v>
      </c>
      <c r="O17" s="456">
        <v>1</v>
      </c>
      <c r="P17" s="456">
        <v>25000</v>
      </c>
      <c r="Q17" s="456">
        <f t="shared" si="0"/>
        <v>0</v>
      </c>
      <c r="R17" s="456">
        <v>7</v>
      </c>
      <c r="S17" s="456">
        <v>130000</v>
      </c>
      <c r="T17" s="456">
        <v>5</v>
      </c>
      <c r="U17" s="456">
        <v>87500</v>
      </c>
      <c r="V17" s="12"/>
      <c r="W17" s="12"/>
    </row>
    <row r="18" spans="1:29" ht="22.5" x14ac:dyDescent="0.2">
      <c r="A18" s="357" t="s">
        <v>540</v>
      </c>
      <c r="B18" s="496" t="s">
        <v>594</v>
      </c>
      <c r="C18" s="470">
        <v>74381</v>
      </c>
      <c r="D18" s="341">
        <v>78000</v>
      </c>
      <c r="E18" s="453">
        <v>45199.542349537034</v>
      </c>
      <c r="F18" s="456">
        <v>3</v>
      </c>
      <c r="G18" s="456">
        <v>75000</v>
      </c>
      <c r="H18" s="456">
        <v>0</v>
      </c>
      <c r="I18" s="456">
        <v>0</v>
      </c>
      <c r="J18" s="456">
        <v>1</v>
      </c>
      <c r="K18" s="456">
        <v>25000</v>
      </c>
      <c r="L18" s="456">
        <v>1</v>
      </c>
      <c r="M18" s="456">
        <v>1</v>
      </c>
      <c r="N18" s="456">
        <v>25000</v>
      </c>
      <c r="O18" s="456">
        <v>2</v>
      </c>
      <c r="P18" s="456">
        <v>50000</v>
      </c>
      <c r="Q18" s="456">
        <f t="shared" si="0"/>
        <v>0</v>
      </c>
      <c r="R18" s="456">
        <v>1</v>
      </c>
      <c r="S18" s="456">
        <v>12500</v>
      </c>
      <c r="T18" s="456">
        <v>1</v>
      </c>
      <c r="U18" s="456">
        <v>12500</v>
      </c>
      <c r="V18" s="12"/>
      <c r="W18" s="12"/>
    </row>
    <row r="19" spans="1:29" ht="22.5" x14ac:dyDescent="0.2">
      <c r="A19" s="357" t="s">
        <v>540</v>
      </c>
      <c r="B19" s="496" t="s">
        <v>593</v>
      </c>
      <c r="C19" s="470">
        <v>74321</v>
      </c>
      <c r="D19" s="341">
        <v>270574.62</v>
      </c>
      <c r="E19" s="453">
        <v>45199.542349537034</v>
      </c>
      <c r="F19" s="456">
        <v>10</v>
      </c>
      <c r="G19" s="456">
        <v>210211.72</v>
      </c>
      <c r="H19" s="456">
        <v>0</v>
      </c>
      <c r="I19" s="456">
        <v>0</v>
      </c>
      <c r="J19" s="456">
        <v>7</v>
      </c>
      <c r="K19" s="456">
        <v>129235.19</v>
      </c>
      <c r="L19" s="456">
        <v>7</v>
      </c>
      <c r="M19" s="456">
        <v>7</v>
      </c>
      <c r="N19" s="456">
        <v>129235.19</v>
      </c>
      <c r="O19" s="456">
        <v>3</v>
      </c>
      <c r="P19" s="456">
        <v>72000</v>
      </c>
      <c r="Q19" s="456">
        <f t="shared" si="0"/>
        <v>0</v>
      </c>
      <c r="R19" s="456">
        <v>4</v>
      </c>
      <c r="S19" s="456">
        <v>40837.17</v>
      </c>
      <c r="T19" s="456">
        <v>3</v>
      </c>
      <c r="U19" s="456">
        <v>37225.5</v>
      </c>
      <c r="V19" s="12"/>
      <c r="W19" s="12"/>
    </row>
    <row r="20" spans="1:29" ht="33.75" x14ac:dyDescent="0.2">
      <c r="A20" s="340" t="s">
        <v>540</v>
      </c>
      <c r="B20" s="452" t="s">
        <v>592</v>
      </c>
      <c r="C20" s="465">
        <v>74345</v>
      </c>
      <c r="D20" s="341">
        <v>326500</v>
      </c>
      <c r="E20" s="453">
        <v>45199.542349537034</v>
      </c>
      <c r="F20" s="456">
        <v>5</v>
      </c>
      <c r="G20" s="456">
        <v>120350</v>
      </c>
      <c r="H20" s="456">
        <v>0</v>
      </c>
      <c r="I20" s="456">
        <v>0</v>
      </c>
      <c r="J20" s="456">
        <v>3</v>
      </c>
      <c r="K20" s="456">
        <v>70350</v>
      </c>
      <c r="L20" s="456">
        <v>3</v>
      </c>
      <c r="M20" s="456">
        <v>3</v>
      </c>
      <c r="N20" s="456">
        <v>70350</v>
      </c>
      <c r="O20" s="456">
        <v>2</v>
      </c>
      <c r="P20" s="456">
        <v>50000</v>
      </c>
      <c r="Q20" s="456">
        <f>K20-N20</f>
        <v>0</v>
      </c>
      <c r="R20" s="456">
        <v>2</v>
      </c>
      <c r="S20" s="456">
        <v>22675</v>
      </c>
      <c r="T20" s="456">
        <v>2</v>
      </c>
      <c r="U20" s="456">
        <v>22675</v>
      </c>
      <c r="V20" s="12"/>
      <c r="W20" s="12"/>
    </row>
    <row r="21" spans="1:29" ht="33.75" x14ac:dyDescent="0.2">
      <c r="A21" s="340" t="s">
        <v>540</v>
      </c>
      <c r="B21" s="452" t="s">
        <v>591</v>
      </c>
      <c r="C21" s="465">
        <v>74461</v>
      </c>
      <c r="D21" s="341">
        <v>255580</v>
      </c>
      <c r="E21" s="453">
        <v>45199.542349537034</v>
      </c>
      <c r="F21" s="456">
        <v>6</v>
      </c>
      <c r="G21" s="456">
        <v>136000</v>
      </c>
      <c r="H21" s="456">
        <v>0</v>
      </c>
      <c r="I21" s="456">
        <v>0</v>
      </c>
      <c r="J21" s="456">
        <v>2</v>
      </c>
      <c r="K21" s="456">
        <v>50000</v>
      </c>
      <c r="L21" s="456">
        <v>2</v>
      </c>
      <c r="M21" s="456">
        <v>2</v>
      </c>
      <c r="N21" s="456">
        <v>50000</v>
      </c>
      <c r="O21" s="456">
        <v>4</v>
      </c>
      <c r="P21" s="456">
        <v>86000</v>
      </c>
      <c r="Q21" s="456">
        <f>K21-N21</f>
        <v>0</v>
      </c>
      <c r="R21" s="456">
        <v>0</v>
      </c>
      <c r="S21" s="456">
        <v>0</v>
      </c>
      <c r="T21" s="456">
        <v>0</v>
      </c>
      <c r="U21" s="456">
        <v>0</v>
      </c>
      <c r="V21" s="12"/>
      <c r="W21" s="12"/>
    </row>
    <row r="22" spans="1:29" ht="22.5" x14ac:dyDescent="0.2">
      <c r="A22" s="143" t="s">
        <v>242</v>
      </c>
      <c r="B22" s="452" t="s">
        <v>295</v>
      </c>
      <c r="C22" s="465">
        <v>74561</v>
      </c>
      <c r="D22" s="341">
        <v>275000</v>
      </c>
      <c r="E22" s="453">
        <v>45327</v>
      </c>
      <c r="F22" s="456">
        <v>1</v>
      </c>
      <c r="G22" s="456">
        <v>25000</v>
      </c>
      <c r="H22" s="456">
        <v>0</v>
      </c>
      <c r="I22" s="456">
        <v>0</v>
      </c>
      <c r="J22" s="456">
        <v>0</v>
      </c>
      <c r="K22" s="456">
        <v>0</v>
      </c>
      <c r="L22" s="456">
        <v>0</v>
      </c>
      <c r="M22" s="456">
        <v>0</v>
      </c>
      <c r="N22" s="456">
        <v>0</v>
      </c>
      <c r="O22" s="456">
        <v>1</v>
      </c>
      <c r="P22" s="456">
        <v>25000</v>
      </c>
      <c r="Q22" s="456">
        <v>0</v>
      </c>
      <c r="R22" s="456">
        <v>0</v>
      </c>
      <c r="S22" s="456">
        <v>0</v>
      </c>
      <c r="T22" s="456">
        <v>0</v>
      </c>
      <c r="U22" s="456">
        <v>0</v>
      </c>
      <c r="V22" s="12"/>
      <c r="W22" s="12"/>
    </row>
    <row r="23" spans="1:29" x14ac:dyDescent="0.2">
      <c r="A23" s="19" t="s">
        <v>1</v>
      </c>
      <c r="B23" s="19"/>
      <c r="C23" s="60"/>
      <c r="D23" s="20">
        <f>SUM(D6:D22)</f>
        <v>5931654.6200000001</v>
      </c>
      <c r="E23" s="20"/>
      <c r="F23" s="20">
        <f>SUM(F6:F22)</f>
        <v>94</v>
      </c>
      <c r="G23" s="20">
        <f t="shared" ref="G23:U23" si="1">SUM(G6:G22)</f>
        <v>4297549.1500000004</v>
      </c>
      <c r="H23" s="20">
        <f t="shared" si="1"/>
        <v>0</v>
      </c>
      <c r="I23" s="20">
        <f t="shared" si="1"/>
        <v>0</v>
      </c>
      <c r="J23" s="20">
        <f t="shared" si="1"/>
        <v>72</v>
      </c>
      <c r="K23" s="20">
        <f t="shared" si="1"/>
        <v>3755464.08</v>
      </c>
      <c r="L23" s="20">
        <f t="shared" si="1"/>
        <v>72</v>
      </c>
      <c r="M23" s="20">
        <f t="shared" si="1"/>
        <v>72</v>
      </c>
      <c r="N23" s="20">
        <f t="shared" si="1"/>
        <v>3755464.08</v>
      </c>
      <c r="O23" s="20">
        <f t="shared" si="1"/>
        <v>22</v>
      </c>
      <c r="P23" s="20">
        <f t="shared" si="1"/>
        <v>515667.43</v>
      </c>
      <c r="Q23" s="20">
        <f t="shared" si="1"/>
        <v>0</v>
      </c>
      <c r="R23" s="20">
        <f t="shared" si="1"/>
        <v>41</v>
      </c>
      <c r="S23" s="20">
        <f t="shared" si="1"/>
        <v>671788.83</v>
      </c>
      <c r="T23" s="530">
        <f t="shared" si="1"/>
        <v>29</v>
      </c>
      <c r="U23" s="530">
        <f t="shared" si="1"/>
        <v>432828.32999999996</v>
      </c>
      <c r="V23" s="12"/>
      <c r="X23" s="96"/>
      <c r="Y23" s="96"/>
      <c r="Z23" s="96"/>
      <c r="AA23" s="96"/>
      <c r="AB23" s="96"/>
      <c r="AC23" s="96"/>
    </row>
    <row r="24" spans="1:29" customFormat="1" ht="15" customHeight="1" x14ac:dyDescent="0.25">
      <c r="A24" s="219" t="s">
        <v>390</v>
      </c>
      <c r="B24" s="140"/>
      <c r="C24" s="140"/>
      <c r="D24" s="140"/>
      <c r="E24" s="140"/>
      <c r="F24" s="140"/>
      <c r="G24" s="140"/>
      <c r="H24" s="140"/>
      <c r="I24" s="140"/>
      <c r="J24" s="140"/>
      <c r="K24" s="140"/>
      <c r="L24" s="140"/>
      <c r="M24" s="140"/>
      <c r="N24" s="140"/>
      <c r="O24" s="140"/>
      <c r="P24" s="140"/>
      <c r="Q24" s="140"/>
      <c r="R24" s="140"/>
    </row>
    <row r="25" spans="1:29" s="23" customFormat="1" ht="23.45" customHeight="1" x14ac:dyDescent="0.25">
      <c r="A25" s="1148" t="s">
        <v>732</v>
      </c>
      <c r="B25" s="1148"/>
      <c r="C25" s="1148"/>
      <c r="D25" s="1148"/>
      <c r="E25" s="1148"/>
      <c r="F25" s="1148"/>
      <c r="G25" s="1148"/>
      <c r="H25" s="1148"/>
      <c r="I25" s="1148"/>
      <c r="J25" s="1148"/>
      <c r="K25" s="1148"/>
      <c r="L25" s="1148"/>
      <c r="M25" s="1148"/>
      <c r="N25" s="1148"/>
      <c r="O25" s="1148"/>
      <c r="P25" s="1148"/>
      <c r="Q25" s="1148"/>
      <c r="R25" s="1148"/>
      <c r="S25" s="1148"/>
      <c r="T25" s="1148"/>
      <c r="U25" s="1148"/>
      <c r="V25" s="90"/>
      <c r="X25" s="90"/>
    </row>
    <row r="26" spans="1:29" x14ac:dyDescent="0.2">
      <c r="A26" s="1149" t="s">
        <v>652</v>
      </c>
      <c r="B26" s="1149"/>
      <c r="C26" s="1150"/>
      <c r="D26" s="1149"/>
      <c r="E26" s="1149"/>
      <c r="F26" s="1149"/>
      <c r="G26" s="1149"/>
      <c r="H26" s="1150"/>
      <c r="I26" s="1150"/>
      <c r="J26" s="1149"/>
      <c r="K26" s="1149"/>
      <c r="L26" s="1149"/>
      <c r="M26" s="1149"/>
      <c r="N26" s="1149"/>
      <c r="O26" s="1149"/>
      <c r="P26" s="1149"/>
      <c r="Q26" s="1149"/>
      <c r="R26" s="1149"/>
      <c r="S26" s="1149"/>
      <c r="T26" s="1149"/>
      <c r="U26" s="1149"/>
    </row>
    <row r="27" spans="1:29" ht="20.25" customHeight="1" x14ac:dyDescent="0.2">
      <c r="A27" s="966" t="s">
        <v>248</v>
      </c>
      <c r="B27" s="966" t="s">
        <v>156</v>
      </c>
      <c r="C27" s="966" t="s">
        <v>282</v>
      </c>
      <c r="D27" s="966" t="s">
        <v>157</v>
      </c>
      <c r="E27" s="966" t="s">
        <v>158</v>
      </c>
      <c r="F27" s="997" t="s">
        <v>337</v>
      </c>
      <c r="G27" s="998"/>
      <c r="H27" s="997" t="s">
        <v>277</v>
      </c>
      <c r="I27" s="998"/>
      <c r="J27" s="997" t="s">
        <v>159</v>
      </c>
      <c r="K27" s="998"/>
      <c r="L27" s="976" t="s">
        <v>717</v>
      </c>
      <c r="M27" s="977"/>
      <c r="N27" s="977"/>
      <c r="O27" s="977"/>
      <c r="P27" s="978"/>
      <c r="Q27" s="966" t="s">
        <v>250</v>
      </c>
      <c r="R27" s="969" t="s">
        <v>718</v>
      </c>
      <c r="S27" s="970"/>
      <c r="T27" s="969" t="s">
        <v>719</v>
      </c>
      <c r="U27" s="970"/>
    </row>
    <row r="28" spans="1:29" ht="10.15" customHeight="1" x14ac:dyDescent="0.2">
      <c r="A28" s="967"/>
      <c r="B28" s="967"/>
      <c r="C28" s="967"/>
      <c r="D28" s="967"/>
      <c r="E28" s="967"/>
      <c r="F28" s="971"/>
      <c r="G28" s="972"/>
      <c r="H28" s="971"/>
      <c r="I28" s="972"/>
      <c r="J28" s="971"/>
      <c r="K28" s="972"/>
      <c r="L28" s="1143" t="s">
        <v>160</v>
      </c>
      <c r="M28" s="977"/>
      <c r="N28" s="978"/>
      <c r="O28" s="997" t="s">
        <v>631</v>
      </c>
      <c r="P28" s="998"/>
      <c r="Q28" s="967"/>
      <c r="R28" s="971"/>
      <c r="S28" s="972"/>
      <c r="T28" s="971"/>
      <c r="U28" s="972"/>
    </row>
    <row r="29" spans="1:29" ht="21" customHeight="1" x14ac:dyDescent="0.2">
      <c r="A29" s="967"/>
      <c r="B29" s="967"/>
      <c r="C29" s="967"/>
      <c r="D29" s="967"/>
      <c r="E29" s="967"/>
      <c r="F29" s="973"/>
      <c r="G29" s="974"/>
      <c r="H29" s="973"/>
      <c r="I29" s="974"/>
      <c r="J29" s="973"/>
      <c r="K29" s="974"/>
      <c r="L29" s="979" t="s">
        <v>161</v>
      </c>
      <c r="M29" s="1143" t="s">
        <v>247</v>
      </c>
      <c r="N29" s="978"/>
      <c r="O29" s="973"/>
      <c r="P29" s="974"/>
      <c r="Q29" s="975"/>
      <c r="R29" s="973"/>
      <c r="S29" s="974"/>
      <c r="T29" s="973"/>
      <c r="U29" s="974"/>
    </row>
    <row r="30" spans="1:29" ht="21" x14ac:dyDescent="0.2">
      <c r="A30" s="975"/>
      <c r="B30" s="975"/>
      <c r="C30" s="975"/>
      <c r="D30" s="975"/>
      <c r="E30" s="975"/>
      <c r="F30" s="127" t="s">
        <v>161</v>
      </c>
      <c r="G30" s="128" t="s">
        <v>162</v>
      </c>
      <c r="H30" s="15" t="s">
        <v>161</v>
      </c>
      <c r="I30" s="16" t="s">
        <v>162</v>
      </c>
      <c r="J30" s="127" t="s">
        <v>161</v>
      </c>
      <c r="K30" s="128" t="s">
        <v>162</v>
      </c>
      <c r="L30" s="1142"/>
      <c r="M30" s="160" t="s">
        <v>161</v>
      </c>
      <c r="N30" s="130" t="s">
        <v>162</v>
      </c>
      <c r="O30" s="160" t="s">
        <v>161</v>
      </c>
      <c r="P30" s="130" t="s">
        <v>162</v>
      </c>
      <c r="Q30" s="16" t="s">
        <v>162</v>
      </c>
      <c r="R30" s="15" t="s">
        <v>161</v>
      </c>
      <c r="S30" s="16" t="s">
        <v>162</v>
      </c>
      <c r="T30" s="78" t="s">
        <v>161</v>
      </c>
      <c r="U30" s="79" t="s">
        <v>162</v>
      </c>
    </row>
    <row r="31" spans="1:29" s="513" customFormat="1" ht="22.5" x14ac:dyDescent="0.25">
      <c r="A31" s="340" t="s">
        <v>63</v>
      </c>
      <c r="B31" s="452" t="s">
        <v>445</v>
      </c>
      <c r="C31" s="465">
        <v>26821</v>
      </c>
      <c r="D31" s="341">
        <v>144359.57</v>
      </c>
      <c r="E31" s="509">
        <v>43714</v>
      </c>
      <c r="F31" s="456">
        <v>2</v>
      </c>
      <c r="G31" s="456">
        <v>150000</v>
      </c>
      <c r="H31" s="456">
        <v>0</v>
      </c>
      <c r="I31" s="456">
        <v>0</v>
      </c>
      <c r="J31" s="456">
        <v>2</v>
      </c>
      <c r="K31" s="456">
        <v>144359.57</v>
      </c>
      <c r="L31" s="456">
        <v>2</v>
      </c>
      <c r="M31" s="456">
        <v>2</v>
      </c>
      <c r="N31" s="456">
        <v>144359.57</v>
      </c>
      <c r="O31" s="456">
        <v>0</v>
      </c>
      <c r="P31" s="456">
        <v>0</v>
      </c>
      <c r="Q31" s="456">
        <f t="shared" ref="Q31:Q41" si="2">K31-N31</f>
        <v>0</v>
      </c>
      <c r="R31" s="456">
        <v>4</v>
      </c>
      <c r="S31" s="456">
        <v>134415.76</v>
      </c>
      <c r="T31" s="456">
        <v>3</v>
      </c>
      <c r="U31" s="456">
        <v>96189.920000000013</v>
      </c>
    </row>
    <row r="32" spans="1:29" s="513" customFormat="1" ht="22.5" x14ac:dyDescent="0.25">
      <c r="A32" s="340" t="s">
        <v>63</v>
      </c>
      <c r="B32" s="452" t="s">
        <v>446</v>
      </c>
      <c r="C32" s="465">
        <v>32964</v>
      </c>
      <c r="D32" s="341">
        <v>0</v>
      </c>
      <c r="E32" s="509">
        <v>44196</v>
      </c>
      <c r="F32" s="456">
        <v>2</v>
      </c>
      <c r="G32" s="456">
        <v>299943.25</v>
      </c>
      <c r="H32" s="456">
        <v>0</v>
      </c>
      <c r="I32" s="456">
        <v>0</v>
      </c>
      <c r="J32" s="456">
        <v>0</v>
      </c>
      <c r="K32" s="456">
        <v>0</v>
      </c>
      <c r="L32" s="456">
        <v>0</v>
      </c>
      <c r="M32" s="456">
        <v>0</v>
      </c>
      <c r="N32" s="456">
        <v>0</v>
      </c>
      <c r="O32" s="456">
        <v>2</v>
      </c>
      <c r="P32" s="456">
        <v>299943.25</v>
      </c>
      <c r="Q32" s="456">
        <f t="shared" si="2"/>
        <v>0</v>
      </c>
      <c r="R32" s="456">
        <v>0</v>
      </c>
      <c r="S32" s="456">
        <v>0</v>
      </c>
      <c r="T32" s="456">
        <v>0</v>
      </c>
      <c r="U32" s="456">
        <v>0</v>
      </c>
    </row>
    <row r="33" spans="1:24" s="513" customFormat="1" ht="22.5" x14ac:dyDescent="0.25">
      <c r="A33" s="143" t="s">
        <v>540</v>
      </c>
      <c r="B33" s="452" t="s">
        <v>447</v>
      </c>
      <c r="C33" s="516">
        <v>34786</v>
      </c>
      <c r="D33" s="341">
        <v>46162.5</v>
      </c>
      <c r="E33" s="517">
        <v>44242</v>
      </c>
      <c r="F33" s="456">
        <v>2</v>
      </c>
      <c r="G33" s="456">
        <v>52665.16</v>
      </c>
      <c r="H33" s="456">
        <v>0</v>
      </c>
      <c r="I33" s="456">
        <v>0</v>
      </c>
      <c r="J33" s="456">
        <v>1</v>
      </c>
      <c r="K33" s="456">
        <v>46162.5</v>
      </c>
      <c r="L33" s="456">
        <v>1</v>
      </c>
      <c r="M33" s="456">
        <v>1</v>
      </c>
      <c r="N33" s="456">
        <v>46162.5</v>
      </c>
      <c r="O33" s="456">
        <v>1</v>
      </c>
      <c r="P33" s="456">
        <v>4665.16</v>
      </c>
      <c r="Q33" s="456">
        <f t="shared" si="2"/>
        <v>0</v>
      </c>
      <c r="R33" s="456">
        <v>1</v>
      </c>
      <c r="S33" s="456">
        <v>46162.5</v>
      </c>
      <c r="T33" s="456">
        <v>1</v>
      </c>
      <c r="U33" s="456">
        <v>46162.5</v>
      </c>
    </row>
    <row r="34" spans="1:24" s="513" customFormat="1" ht="22.5" x14ac:dyDescent="0.25">
      <c r="A34" s="143" t="s">
        <v>541</v>
      </c>
      <c r="B34" s="452" t="s">
        <v>448</v>
      </c>
      <c r="C34" s="465">
        <v>36442</v>
      </c>
      <c r="D34" s="341">
        <v>279800.80000000005</v>
      </c>
      <c r="E34" s="509">
        <v>43875</v>
      </c>
      <c r="F34" s="456">
        <v>12</v>
      </c>
      <c r="G34" s="456">
        <v>473840.37</v>
      </c>
      <c r="H34" s="456">
        <v>0</v>
      </c>
      <c r="I34" s="456">
        <v>0</v>
      </c>
      <c r="J34" s="456">
        <v>8</v>
      </c>
      <c r="K34" s="456">
        <v>279800.80000000005</v>
      </c>
      <c r="L34" s="456">
        <v>8</v>
      </c>
      <c r="M34" s="456">
        <v>8</v>
      </c>
      <c r="N34" s="456">
        <v>279800.80000000005</v>
      </c>
      <c r="O34" s="456">
        <f>2+2</f>
        <v>4</v>
      </c>
      <c r="P34" s="456">
        <f>65901.37+99499.5</f>
        <v>165400.87</v>
      </c>
      <c r="Q34" s="456">
        <f t="shared" si="2"/>
        <v>0</v>
      </c>
      <c r="R34" s="456">
        <v>12</v>
      </c>
      <c r="S34" s="456">
        <v>260220.53999999998</v>
      </c>
      <c r="T34" s="456">
        <v>7</v>
      </c>
      <c r="U34" s="456">
        <v>161633.24</v>
      </c>
    </row>
    <row r="35" spans="1:24" s="513" customFormat="1" ht="22.5" x14ac:dyDescent="0.25">
      <c r="A35" s="143" t="s">
        <v>541</v>
      </c>
      <c r="B35" s="452" t="s">
        <v>449</v>
      </c>
      <c r="C35" s="465">
        <v>36443</v>
      </c>
      <c r="D35" s="341">
        <v>299883.96000000002</v>
      </c>
      <c r="E35" s="509">
        <v>43875</v>
      </c>
      <c r="F35" s="456">
        <v>12</v>
      </c>
      <c r="G35" s="456">
        <v>482238.37</v>
      </c>
      <c r="H35" s="456">
        <v>1</v>
      </c>
      <c r="I35" s="456">
        <v>50000</v>
      </c>
      <c r="J35" s="456">
        <v>7</v>
      </c>
      <c r="K35" s="456">
        <v>299883.96000000002</v>
      </c>
      <c r="L35" s="456">
        <v>7</v>
      </c>
      <c r="M35" s="456">
        <v>7</v>
      </c>
      <c r="N35" s="456">
        <v>299883.96000000002</v>
      </c>
      <c r="O35" s="456">
        <v>4</v>
      </c>
      <c r="P35" s="456">
        <f>59000+71343.2</f>
        <v>130343.2</v>
      </c>
      <c r="Q35" s="456">
        <f t="shared" si="2"/>
        <v>0</v>
      </c>
      <c r="R35" s="456">
        <v>7</v>
      </c>
      <c r="S35" s="456">
        <v>272503.80000000005</v>
      </c>
      <c r="T35" s="456">
        <v>6</v>
      </c>
      <c r="U35" s="456">
        <v>220666</v>
      </c>
    </row>
    <row r="36" spans="1:24" s="513" customFormat="1" ht="22.5" x14ac:dyDescent="0.25">
      <c r="A36" s="143" t="s">
        <v>541</v>
      </c>
      <c r="B36" s="452" t="s">
        <v>450</v>
      </c>
      <c r="C36" s="465">
        <v>39621</v>
      </c>
      <c r="D36" s="341">
        <v>0</v>
      </c>
      <c r="E36" s="517">
        <v>44242</v>
      </c>
      <c r="F36" s="456">
        <v>1</v>
      </c>
      <c r="G36" s="456">
        <v>40000</v>
      </c>
      <c r="H36" s="456">
        <v>1</v>
      </c>
      <c r="I36" s="456">
        <v>40000</v>
      </c>
      <c r="J36" s="456">
        <v>0</v>
      </c>
      <c r="K36" s="456">
        <v>0</v>
      </c>
      <c r="L36" s="456">
        <v>0</v>
      </c>
      <c r="M36" s="456">
        <v>0</v>
      </c>
      <c r="N36" s="456">
        <v>0</v>
      </c>
      <c r="O36" s="456">
        <v>0</v>
      </c>
      <c r="P36" s="456">
        <v>0</v>
      </c>
      <c r="Q36" s="456">
        <f t="shared" si="2"/>
        <v>0</v>
      </c>
      <c r="R36" s="456">
        <v>0</v>
      </c>
      <c r="S36" s="456">
        <v>0</v>
      </c>
      <c r="T36" s="456">
        <v>0</v>
      </c>
      <c r="U36" s="456">
        <v>0</v>
      </c>
    </row>
    <row r="37" spans="1:24" s="513" customFormat="1" ht="18.600000000000001" customHeight="1" x14ac:dyDescent="0.25">
      <c r="A37" s="143" t="s">
        <v>245</v>
      </c>
      <c r="B37" s="464" t="s">
        <v>451</v>
      </c>
      <c r="C37" s="465">
        <v>40381</v>
      </c>
      <c r="D37" s="341">
        <v>612446.12</v>
      </c>
      <c r="E37" s="509">
        <v>44174</v>
      </c>
      <c r="F37" s="456">
        <v>4</v>
      </c>
      <c r="G37" s="456">
        <v>695999.99</v>
      </c>
      <c r="H37" s="456">
        <v>0</v>
      </c>
      <c r="I37" s="456">
        <v>0</v>
      </c>
      <c r="J37" s="456">
        <v>4</v>
      </c>
      <c r="K37" s="456">
        <v>612446.12</v>
      </c>
      <c r="L37" s="456">
        <v>4</v>
      </c>
      <c r="M37" s="456">
        <v>4</v>
      </c>
      <c r="N37" s="456">
        <v>612446.12</v>
      </c>
      <c r="O37" s="456">
        <v>0</v>
      </c>
      <c r="P37" s="456">
        <v>0</v>
      </c>
      <c r="Q37" s="456">
        <f t="shared" si="2"/>
        <v>0</v>
      </c>
      <c r="R37" s="456">
        <v>3</v>
      </c>
      <c r="S37" s="456">
        <v>295201.45999999996</v>
      </c>
      <c r="T37" s="456">
        <v>2</v>
      </c>
      <c r="U37" s="456">
        <v>145738.65</v>
      </c>
    </row>
    <row r="38" spans="1:24" s="513" customFormat="1" ht="22.5" x14ac:dyDescent="0.25">
      <c r="A38" s="143" t="s">
        <v>242</v>
      </c>
      <c r="B38" s="452" t="s">
        <v>452</v>
      </c>
      <c r="C38" s="465">
        <v>41163</v>
      </c>
      <c r="D38" s="341">
        <v>299483.5</v>
      </c>
      <c r="E38" s="509">
        <v>44104</v>
      </c>
      <c r="F38" s="456">
        <v>10</v>
      </c>
      <c r="G38" s="456">
        <v>461444.5</v>
      </c>
      <c r="H38" s="456">
        <v>0</v>
      </c>
      <c r="I38" s="456">
        <v>0</v>
      </c>
      <c r="J38" s="456">
        <v>6</v>
      </c>
      <c r="K38" s="456">
        <v>299483.5</v>
      </c>
      <c r="L38" s="456">
        <v>6</v>
      </c>
      <c r="M38" s="456">
        <v>6</v>
      </c>
      <c r="N38" s="456">
        <f>411444.5-111961</f>
        <v>299483.5</v>
      </c>
      <c r="O38" s="456">
        <v>4</v>
      </c>
      <c r="P38" s="456">
        <f>50000+111961</f>
        <v>161961</v>
      </c>
      <c r="Q38" s="456">
        <f>K38-N38</f>
        <v>0</v>
      </c>
      <c r="R38" s="456">
        <v>12</v>
      </c>
      <c r="S38" s="456">
        <v>299483.5</v>
      </c>
      <c r="T38" s="456">
        <v>12</v>
      </c>
      <c r="U38" s="456">
        <v>299483.5</v>
      </c>
    </row>
    <row r="39" spans="1:24" s="513" customFormat="1" ht="22.5" x14ac:dyDescent="0.25">
      <c r="A39" s="143" t="s">
        <v>275</v>
      </c>
      <c r="B39" s="452" t="s">
        <v>290</v>
      </c>
      <c r="C39" s="465">
        <v>47341</v>
      </c>
      <c r="D39" s="196">
        <v>35199.120000000003</v>
      </c>
      <c r="E39" s="517">
        <v>44242</v>
      </c>
      <c r="F39" s="456">
        <v>5</v>
      </c>
      <c r="G39" s="456">
        <v>180680</v>
      </c>
      <c r="H39" s="456">
        <v>0</v>
      </c>
      <c r="I39" s="456">
        <v>0</v>
      </c>
      <c r="J39" s="456">
        <v>1</v>
      </c>
      <c r="K39" s="456">
        <v>35199.120000000003</v>
      </c>
      <c r="L39" s="456">
        <v>1</v>
      </c>
      <c r="M39" s="456">
        <v>1</v>
      </c>
      <c r="N39" s="456">
        <v>35199.120000000003</v>
      </c>
      <c r="O39" s="456">
        <v>4</v>
      </c>
      <c r="P39" s="456">
        <f>119960+12446.08</f>
        <v>132406.07999999999</v>
      </c>
      <c r="Q39" s="456">
        <f t="shared" si="2"/>
        <v>0</v>
      </c>
      <c r="R39" s="456">
        <v>2</v>
      </c>
      <c r="S39" s="456">
        <v>20764.060000000001</v>
      </c>
      <c r="T39" s="456">
        <v>1</v>
      </c>
      <c r="U39" s="456">
        <v>20174.060000000001</v>
      </c>
      <c r="X39" s="518"/>
    </row>
    <row r="40" spans="1:24" s="513" customFormat="1" x14ac:dyDescent="0.25">
      <c r="A40" s="143" t="s">
        <v>151</v>
      </c>
      <c r="B40" s="452" t="s">
        <v>318</v>
      </c>
      <c r="C40" s="465">
        <v>48901</v>
      </c>
      <c r="D40" s="341">
        <v>0</v>
      </c>
      <c r="E40" s="517">
        <v>44242</v>
      </c>
      <c r="F40" s="456">
        <v>0</v>
      </c>
      <c r="G40" s="456">
        <v>0</v>
      </c>
      <c r="H40" s="456">
        <v>0</v>
      </c>
      <c r="I40" s="456">
        <v>0</v>
      </c>
      <c r="J40" s="456">
        <v>0</v>
      </c>
      <c r="K40" s="456">
        <v>0</v>
      </c>
      <c r="L40" s="456">
        <v>0</v>
      </c>
      <c r="M40" s="456">
        <v>0</v>
      </c>
      <c r="N40" s="456">
        <v>0</v>
      </c>
      <c r="O40" s="456">
        <v>0</v>
      </c>
      <c r="P40" s="456">
        <v>0</v>
      </c>
      <c r="Q40" s="456">
        <f t="shared" si="2"/>
        <v>0</v>
      </c>
      <c r="R40" s="456">
        <v>0</v>
      </c>
      <c r="S40" s="456">
        <v>0</v>
      </c>
      <c r="T40" s="456">
        <v>0</v>
      </c>
      <c r="U40" s="456">
        <v>0</v>
      </c>
    </row>
    <row r="41" spans="1:24" s="513" customFormat="1" ht="22.5" x14ac:dyDescent="0.25">
      <c r="A41" s="357" t="s">
        <v>242</v>
      </c>
      <c r="B41" s="452" t="s">
        <v>546</v>
      </c>
      <c r="C41" s="465">
        <v>70582</v>
      </c>
      <c r="D41" s="196">
        <v>1147973.69</v>
      </c>
      <c r="E41" s="517">
        <v>45000</v>
      </c>
      <c r="F41" s="456">
        <v>33</v>
      </c>
      <c r="G41" s="456">
        <v>1650977.69</v>
      </c>
      <c r="H41" s="456">
        <v>0</v>
      </c>
      <c r="I41" s="456">
        <v>0</v>
      </c>
      <c r="J41" s="456">
        <v>26</v>
      </c>
      <c r="K41" s="456">
        <f>G41-P41</f>
        <v>1300977.69</v>
      </c>
      <c r="L41" s="456">
        <v>26</v>
      </c>
      <c r="M41" s="456">
        <v>23</v>
      </c>
      <c r="N41" s="456">
        <f>1197973.69-50000</f>
        <v>1147973.69</v>
      </c>
      <c r="O41" s="456">
        <v>7</v>
      </c>
      <c r="P41" s="456">
        <v>350000</v>
      </c>
      <c r="Q41" s="456">
        <f t="shared" si="2"/>
        <v>153004</v>
      </c>
      <c r="R41" s="456">
        <v>40</v>
      </c>
      <c r="S41" s="456">
        <v>1077981.67</v>
      </c>
      <c r="T41" s="456">
        <v>30</v>
      </c>
      <c r="U41" s="456">
        <v>908516.22000000009</v>
      </c>
    </row>
    <row r="42" spans="1:24" s="513" customFormat="1" ht="22.5" x14ac:dyDescent="0.25">
      <c r="A42" s="357" t="s">
        <v>541</v>
      </c>
      <c r="B42" s="519" t="s">
        <v>566</v>
      </c>
      <c r="C42" s="465">
        <v>72841</v>
      </c>
      <c r="D42" s="451">
        <v>462611.08</v>
      </c>
      <c r="E42" s="517">
        <v>45084</v>
      </c>
      <c r="F42" s="456">
        <v>19</v>
      </c>
      <c r="G42" s="456">
        <v>1266096</v>
      </c>
      <c r="H42" s="456">
        <v>0</v>
      </c>
      <c r="I42" s="456">
        <v>0</v>
      </c>
      <c r="J42" s="456">
        <v>7</v>
      </c>
      <c r="K42" s="456">
        <v>542516.60000000009</v>
      </c>
      <c r="L42" s="456">
        <v>7</v>
      </c>
      <c r="M42" s="456">
        <v>7</v>
      </c>
      <c r="N42" s="456">
        <v>542516.60000000009</v>
      </c>
      <c r="O42" s="456">
        <v>0</v>
      </c>
      <c r="P42" s="456">
        <v>0</v>
      </c>
      <c r="Q42" s="456">
        <f>K42-N42</f>
        <v>0</v>
      </c>
      <c r="R42" s="456">
        <v>4</v>
      </c>
      <c r="S42" s="456">
        <v>136007.64000000001</v>
      </c>
      <c r="T42" s="456">
        <v>1</v>
      </c>
      <c r="U42" s="456">
        <v>40000</v>
      </c>
    </row>
    <row r="43" spans="1:24" s="513" customFormat="1" ht="22.5" x14ac:dyDescent="0.25">
      <c r="A43" s="357" t="s">
        <v>540</v>
      </c>
      <c r="B43" s="452" t="s">
        <v>554</v>
      </c>
      <c r="C43" s="465">
        <v>73577</v>
      </c>
      <c r="D43" s="451">
        <v>245134.16</v>
      </c>
      <c r="E43" s="453">
        <v>45112</v>
      </c>
      <c r="F43" s="456">
        <v>5</v>
      </c>
      <c r="G43" s="456">
        <v>254377.48</v>
      </c>
      <c r="H43" s="456">
        <v>0</v>
      </c>
      <c r="I43" s="456">
        <v>0</v>
      </c>
      <c r="J43" s="456">
        <v>5</v>
      </c>
      <c r="K43" s="456">
        <v>245134.16</v>
      </c>
      <c r="L43" s="456">
        <v>5</v>
      </c>
      <c r="M43" s="456">
        <v>5</v>
      </c>
      <c r="N43" s="456">
        <v>245134.16</v>
      </c>
      <c r="O43" s="456">
        <v>0</v>
      </c>
      <c r="P43" s="456">
        <v>0</v>
      </c>
      <c r="Q43" s="456">
        <f>K43-N43</f>
        <v>0</v>
      </c>
      <c r="R43" s="456">
        <v>5</v>
      </c>
      <c r="S43" s="456">
        <v>188758.76</v>
      </c>
      <c r="T43" s="456">
        <v>3</v>
      </c>
      <c r="U43" s="456">
        <v>84678.58</v>
      </c>
    </row>
    <row r="44" spans="1:24" s="513" customFormat="1" x14ac:dyDescent="0.25">
      <c r="A44" s="357" t="s">
        <v>273</v>
      </c>
      <c r="B44" s="452" t="s">
        <v>550</v>
      </c>
      <c r="C44" s="465">
        <v>73722</v>
      </c>
      <c r="D44" s="451">
        <v>684856.9</v>
      </c>
      <c r="E44" s="453">
        <v>45124</v>
      </c>
      <c r="F44" s="456">
        <v>4</v>
      </c>
      <c r="G44" s="456">
        <v>706868.31</v>
      </c>
      <c r="H44" s="456">
        <v>0</v>
      </c>
      <c r="I44" s="456">
        <v>0</v>
      </c>
      <c r="J44" s="456">
        <v>4</v>
      </c>
      <c r="K44" s="458">
        <v>684856.9</v>
      </c>
      <c r="L44" s="456">
        <v>4</v>
      </c>
      <c r="M44" s="456">
        <v>4</v>
      </c>
      <c r="N44" s="456">
        <v>684856.49</v>
      </c>
      <c r="O44" s="456">
        <v>0</v>
      </c>
      <c r="P44" s="456">
        <v>0</v>
      </c>
      <c r="Q44" s="456">
        <f>K44-N44</f>
        <v>0.41000000003259629</v>
      </c>
      <c r="R44" s="456">
        <v>1</v>
      </c>
      <c r="S44" s="456">
        <v>92904.02</v>
      </c>
      <c r="T44" s="456">
        <v>1</v>
      </c>
      <c r="U44" s="456">
        <v>92904.02</v>
      </c>
    </row>
    <row r="45" spans="1:24" s="513" customFormat="1" ht="22.5" x14ac:dyDescent="0.25">
      <c r="A45" s="357" t="s">
        <v>541</v>
      </c>
      <c r="B45" s="452" t="s">
        <v>555</v>
      </c>
      <c r="C45" s="465">
        <v>73721</v>
      </c>
      <c r="D45" s="451">
        <v>388173.01</v>
      </c>
      <c r="E45" s="453">
        <v>45112</v>
      </c>
      <c r="F45" s="456">
        <v>17</v>
      </c>
      <c r="G45" s="456">
        <v>1238515.6400000001</v>
      </c>
      <c r="H45" s="456">
        <v>0</v>
      </c>
      <c r="I45" s="456">
        <v>0</v>
      </c>
      <c r="J45" s="456">
        <v>6</v>
      </c>
      <c r="K45" s="456">
        <v>413666.65</v>
      </c>
      <c r="L45" s="456">
        <v>6</v>
      </c>
      <c r="M45" s="456">
        <v>6</v>
      </c>
      <c r="N45" s="456">
        <v>413666.65</v>
      </c>
      <c r="O45" s="456">
        <v>2</v>
      </c>
      <c r="P45" s="456">
        <v>124000</v>
      </c>
      <c r="Q45" s="456">
        <f>K45-N45</f>
        <v>0</v>
      </c>
      <c r="R45" s="456">
        <v>7</v>
      </c>
      <c r="S45" s="456">
        <v>277976.96000000002</v>
      </c>
      <c r="T45" s="456">
        <v>2</v>
      </c>
      <c r="U45" s="456">
        <v>61944.25</v>
      </c>
      <c r="W45" s="518"/>
    </row>
    <row r="46" spans="1:24" x14ac:dyDescent="0.2">
      <c r="A46" s="74" t="s">
        <v>1</v>
      </c>
      <c r="B46" s="74"/>
      <c r="C46" s="146"/>
      <c r="D46" s="75">
        <f>SUM(D31:D45)</f>
        <v>4646084.41</v>
      </c>
      <c r="E46" s="75"/>
      <c r="F46" s="75">
        <f t="shared" ref="F46:U46" si="3">SUM(F31:F45)</f>
        <v>128</v>
      </c>
      <c r="G46" s="75">
        <f t="shared" si="3"/>
        <v>7953646.7600000016</v>
      </c>
      <c r="H46" s="75">
        <f t="shared" si="3"/>
        <v>2</v>
      </c>
      <c r="I46" s="75">
        <f t="shared" si="3"/>
        <v>90000</v>
      </c>
      <c r="J46" s="75">
        <f t="shared" si="3"/>
        <v>77</v>
      </c>
      <c r="K46" s="75">
        <f t="shared" si="3"/>
        <v>4904487.5700000012</v>
      </c>
      <c r="L46" s="75">
        <f t="shared" si="3"/>
        <v>77</v>
      </c>
      <c r="M46" s="75">
        <f t="shared" si="3"/>
        <v>74</v>
      </c>
      <c r="N46" s="75">
        <f t="shared" si="3"/>
        <v>4751483.1600000011</v>
      </c>
      <c r="O46" s="75">
        <f t="shared" si="3"/>
        <v>28</v>
      </c>
      <c r="P46" s="75">
        <f t="shared" si="3"/>
        <v>1368719.56</v>
      </c>
      <c r="Q46" s="75">
        <f t="shared" si="3"/>
        <v>153004.41000000003</v>
      </c>
      <c r="R46" s="75">
        <f t="shared" si="3"/>
        <v>98</v>
      </c>
      <c r="S46" s="75">
        <f t="shared" si="3"/>
        <v>3102380.6700000004</v>
      </c>
      <c r="T46" s="531">
        <f t="shared" si="3"/>
        <v>69</v>
      </c>
      <c r="U46" s="531">
        <f t="shared" si="3"/>
        <v>2178090.9400000004</v>
      </c>
    </row>
    <row r="47" spans="1:24" customFormat="1" ht="15" customHeight="1" x14ac:dyDescent="0.25">
      <c r="A47" s="219" t="s">
        <v>390</v>
      </c>
      <c r="B47" s="140"/>
      <c r="C47" s="140"/>
      <c r="D47" s="140"/>
      <c r="E47" s="140"/>
      <c r="F47" s="140"/>
      <c r="G47" s="140"/>
      <c r="H47" s="140"/>
      <c r="I47" s="140"/>
      <c r="J47" s="140"/>
      <c r="K47" s="140"/>
      <c r="L47" s="140"/>
      <c r="M47" s="140"/>
      <c r="N47" s="140"/>
      <c r="O47" s="140"/>
      <c r="P47" s="419"/>
      <c r="Q47" s="140"/>
      <c r="R47" s="140"/>
    </row>
    <row r="48" spans="1:24" s="23" customFormat="1" ht="30" customHeight="1" x14ac:dyDescent="0.25">
      <c r="A48" s="1148" t="s">
        <v>732</v>
      </c>
      <c r="B48" s="1148"/>
      <c r="C48" s="1148"/>
      <c r="D48" s="1148"/>
      <c r="E48" s="1148"/>
      <c r="F48" s="1148"/>
      <c r="G48" s="1148"/>
      <c r="H48" s="1148"/>
      <c r="I48" s="1148"/>
      <c r="J48" s="1148"/>
      <c r="K48" s="1148"/>
      <c r="L48" s="1148"/>
      <c r="M48" s="1148"/>
      <c r="N48" s="1148"/>
      <c r="O48" s="1148"/>
      <c r="P48" s="1148"/>
      <c r="Q48" s="1148"/>
      <c r="R48" s="1148"/>
      <c r="S48" s="1148"/>
      <c r="T48" s="1148"/>
      <c r="U48" s="1148"/>
      <c r="V48" s="90"/>
      <c r="X48" s="90"/>
    </row>
  </sheetData>
  <mergeCells count="36">
    <mergeCell ref="A48:U48"/>
    <mergeCell ref="L29:L30"/>
    <mergeCell ref="C27:C30"/>
    <mergeCell ref="A26:U26"/>
    <mergeCell ref="A27:A30"/>
    <mergeCell ref="B27:B30"/>
    <mergeCell ref="D27:D30"/>
    <mergeCell ref="E27:E30"/>
    <mergeCell ref="F27:G29"/>
    <mergeCell ref="J27:K29"/>
    <mergeCell ref="L27:P27"/>
    <mergeCell ref="Q27:Q29"/>
    <mergeCell ref="R27:S29"/>
    <mergeCell ref="T27:U29"/>
    <mergeCell ref="L28:N28"/>
    <mergeCell ref="H27:I29"/>
    <mergeCell ref="O28:P29"/>
    <mergeCell ref="M29:N29"/>
    <mergeCell ref="A25:U25"/>
    <mergeCell ref="T2:U4"/>
    <mergeCell ref="L3:N3"/>
    <mergeCell ref="R2:S4"/>
    <mergeCell ref="M4:N4"/>
    <mergeCell ref="A1:U1"/>
    <mergeCell ref="A2:A5"/>
    <mergeCell ref="B2:B5"/>
    <mergeCell ref="C2:C5"/>
    <mergeCell ref="D2:D5"/>
    <mergeCell ref="E2:E5"/>
    <mergeCell ref="F2:G4"/>
    <mergeCell ref="J2:K4"/>
    <mergeCell ref="L2:P2"/>
    <mergeCell ref="Q2:Q4"/>
    <mergeCell ref="O3:P4"/>
    <mergeCell ref="L4:L5"/>
    <mergeCell ref="H2:I4"/>
  </mergeCells>
  <printOptions horizontalCentered="1"/>
  <pageMargins left="0.51181102362204722" right="0.51181102362204722" top="0.74803149606299213" bottom="0.74803149606299213" header="0.31496062992125984" footer="0.31496062992125984"/>
  <pageSetup paperSize="9" scale="56" orientation="landscape" r:id="rId1"/>
  <rowBreaks count="1" manualBreakCount="1">
    <brk id="25" max="20" man="1"/>
  </rowBreaks>
  <colBreaks count="1" manualBreakCount="1">
    <brk id="21"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W37"/>
  <sheetViews>
    <sheetView view="pageBreakPreview" topLeftCell="C28" zoomScaleNormal="100" zoomScaleSheetLayoutView="100" workbookViewId="0">
      <selection activeCell="L11" sqref="L11"/>
    </sheetView>
  </sheetViews>
  <sheetFormatPr defaultRowHeight="15" x14ac:dyDescent="0.25"/>
  <cols>
    <col min="1" max="1" width="8.5703125" customWidth="1"/>
    <col min="2" max="2" width="22.85546875" customWidth="1"/>
    <col min="3" max="3" width="10" customWidth="1"/>
    <col min="4" max="4" width="9.42578125" customWidth="1"/>
    <col min="5" max="5" width="8.42578125" customWidth="1"/>
    <col min="6" max="6" width="3.140625" bestFit="1" customWidth="1"/>
    <col min="7" max="7" width="10.42578125" customWidth="1"/>
    <col min="8" max="8" width="3.140625" bestFit="1" customWidth="1"/>
    <col min="9" max="9" width="8.42578125" customWidth="1"/>
    <col min="10" max="10" width="3.140625" bestFit="1" customWidth="1"/>
    <col min="11" max="11" width="9.28515625" bestFit="1" customWidth="1"/>
    <col min="12" max="13" width="3.140625" bestFit="1" customWidth="1"/>
    <col min="14" max="14" width="9" customWidth="1"/>
    <col min="15" max="15" width="3.140625" bestFit="1" customWidth="1"/>
    <col min="16" max="17" width="8.5703125" customWidth="1"/>
    <col min="18" max="18" width="3.140625" bestFit="1" customWidth="1"/>
    <col min="19" max="19" width="8.5703125" customWidth="1"/>
    <col min="20" max="20" width="3.140625" bestFit="1" customWidth="1"/>
    <col min="21" max="21" width="8.5703125" customWidth="1"/>
  </cols>
  <sheetData>
    <row r="1" spans="1:23" s="12" customFormat="1" ht="20.45" customHeight="1" x14ac:dyDescent="0.2">
      <c r="A1" s="1149" t="s">
        <v>653</v>
      </c>
      <c r="B1" s="1149"/>
      <c r="C1" s="1150"/>
      <c r="D1" s="1149"/>
      <c r="E1" s="1149"/>
      <c r="F1" s="1149"/>
      <c r="G1" s="1149"/>
      <c r="H1" s="1150"/>
      <c r="I1" s="1150"/>
      <c r="J1" s="1149"/>
      <c r="K1" s="1149"/>
      <c r="L1" s="1149"/>
      <c r="M1" s="1149"/>
      <c r="N1" s="1149"/>
      <c r="O1" s="1149"/>
      <c r="P1" s="1149"/>
      <c r="Q1" s="1149"/>
      <c r="R1" s="1149"/>
      <c r="S1" s="1149"/>
      <c r="T1" s="1149"/>
      <c r="U1" s="1149"/>
    </row>
    <row r="2" spans="1:23" s="12" customFormat="1"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V2" s="96"/>
      <c r="W2" s="96"/>
    </row>
    <row r="3" spans="1:23" s="12" customFormat="1"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V3" s="96"/>
      <c r="W3" s="96"/>
    </row>
    <row r="4" spans="1:23" s="12" customFormat="1"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V4" s="96"/>
      <c r="W4" s="96"/>
    </row>
    <row r="5" spans="1:23" s="12" customFormat="1" ht="21.75"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V5" s="96"/>
      <c r="W5" s="96"/>
    </row>
    <row r="6" spans="1:23" s="513" customFormat="1" ht="45" x14ac:dyDescent="0.25">
      <c r="A6" s="143" t="s">
        <v>540</v>
      </c>
      <c r="B6" s="464" t="s">
        <v>444</v>
      </c>
      <c r="C6" s="465">
        <v>33224</v>
      </c>
      <c r="D6" s="508">
        <v>900000</v>
      </c>
      <c r="E6" s="514">
        <v>43766.999988425923</v>
      </c>
      <c r="F6" s="456">
        <v>86</v>
      </c>
      <c r="G6" s="456">
        <v>3046278.21</v>
      </c>
      <c r="H6" s="456">
        <v>0</v>
      </c>
      <c r="I6" s="456">
        <v>0</v>
      </c>
      <c r="J6" s="456">
        <v>27</v>
      </c>
      <c r="K6" s="456">
        <v>1097039.45</v>
      </c>
      <c r="L6" s="456">
        <v>27</v>
      </c>
      <c r="M6" s="456">
        <v>26</v>
      </c>
      <c r="N6" s="456">
        <v>1072039.45</v>
      </c>
      <c r="O6" s="456">
        <v>23</v>
      </c>
      <c r="P6" s="456">
        <v>823604</v>
      </c>
      <c r="Q6" s="456">
        <f t="shared" ref="Q6:Q15" si="0">K6-N6</f>
        <v>25000</v>
      </c>
      <c r="R6" s="456">
        <v>22</v>
      </c>
      <c r="S6" s="456">
        <v>541730.33000000007</v>
      </c>
      <c r="T6" s="456">
        <v>19</v>
      </c>
      <c r="U6" s="456">
        <v>441433.00000000006</v>
      </c>
    </row>
    <row r="7" spans="1:23" s="513" customFormat="1" ht="22.5" x14ac:dyDescent="0.25">
      <c r="A7" s="143" t="s">
        <v>242</v>
      </c>
      <c r="B7" s="464" t="s">
        <v>489</v>
      </c>
      <c r="C7" s="465">
        <v>67381</v>
      </c>
      <c r="D7" s="508">
        <v>600000</v>
      </c>
      <c r="E7" s="514">
        <v>44903</v>
      </c>
      <c r="F7" s="456">
        <v>22</v>
      </c>
      <c r="G7" s="456">
        <v>1100000</v>
      </c>
      <c r="H7" s="456">
        <v>0</v>
      </c>
      <c r="I7" s="456">
        <v>0</v>
      </c>
      <c r="J7" s="456">
        <v>18</v>
      </c>
      <c r="K7" s="458">
        <v>900000</v>
      </c>
      <c r="L7" s="456">
        <v>18</v>
      </c>
      <c r="M7" s="456">
        <v>18</v>
      </c>
      <c r="N7" s="456">
        <v>900000</v>
      </c>
      <c r="O7" s="456">
        <v>3</v>
      </c>
      <c r="P7" s="456">
        <v>150000</v>
      </c>
      <c r="Q7" s="456">
        <f t="shared" si="0"/>
        <v>0</v>
      </c>
      <c r="R7" s="456">
        <v>26</v>
      </c>
      <c r="S7" s="456">
        <v>730000</v>
      </c>
      <c r="T7" s="456">
        <v>21</v>
      </c>
      <c r="U7" s="456">
        <v>615000</v>
      </c>
    </row>
    <row r="8" spans="1:23" s="513" customFormat="1" ht="22.5" x14ac:dyDescent="0.25">
      <c r="A8" s="143" t="s">
        <v>365</v>
      </c>
      <c r="B8" s="464" t="s">
        <v>533</v>
      </c>
      <c r="C8" s="465">
        <v>67383</v>
      </c>
      <c r="D8" s="196">
        <v>282219.15000000002</v>
      </c>
      <c r="E8" s="514">
        <v>44916</v>
      </c>
      <c r="F8" s="456">
        <v>1</v>
      </c>
      <c r="G8" s="456">
        <v>54586.879999999997</v>
      </c>
      <c r="H8" s="456">
        <v>0</v>
      </c>
      <c r="I8" s="456">
        <v>0</v>
      </c>
      <c r="J8" s="456">
        <v>0</v>
      </c>
      <c r="K8" s="456">
        <v>0</v>
      </c>
      <c r="L8" s="456">
        <v>0</v>
      </c>
      <c r="M8" s="456">
        <v>0</v>
      </c>
      <c r="N8" s="456">
        <v>0</v>
      </c>
      <c r="O8" s="456">
        <v>1</v>
      </c>
      <c r="P8" s="456">
        <v>54586.879999999997</v>
      </c>
      <c r="Q8" s="456">
        <f>K8-N8</f>
        <v>0</v>
      </c>
      <c r="R8" s="456">
        <v>0</v>
      </c>
      <c r="S8" s="456">
        <v>0</v>
      </c>
      <c r="T8" s="456">
        <v>0</v>
      </c>
      <c r="U8" s="456">
        <v>0</v>
      </c>
    </row>
    <row r="9" spans="1:23" s="513" customFormat="1" ht="33.75" x14ac:dyDescent="0.25">
      <c r="A9" s="143" t="s">
        <v>540</v>
      </c>
      <c r="B9" s="464" t="s">
        <v>556</v>
      </c>
      <c r="C9" s="465">
        <v>72961</v>
      </c>
      <c r="D9" s="511">
        <v>443973.45</v>
      </c>
      <c r="E9" s="514">
        <v>45111</v>
      </c>
      <c r="F9" s="456">
        <v>2</v>
      </c>
      <c r="G9" s="456">
        <v>52400</v>
      </c>
      <c r="H9" s="456">
        <v>0</v>
      </c>
      <c r="I9" s="456">
        <v>0</v>
      </c>
      <c r="J9" s="456">
        <v>1</v>
      </c>
      <c r="K9" s="456">
        <v>24675</v>
      </c>
      <c r="L9" s="456">
        <v>1</v>
      </c>
      <c r="M9" s="456">
        <v>1</v>
      </c>
      <c r="N9" s="456">
        <v>24675</v>
      </c>
      <c r="O9" s="456">
        <v>1</v>
      </c>
      <c r="P9" s="456">
        <v>26400</v>
      </c>
      <c r="Q9" s="456">
        <f t="shared" si="0"/>
        <v>0</v>
      </c>
      <c r="R9" s="456">
        <v>1</v>
      </c>
      <c r="S9" s="456">
        <v>24675</v>
      </c>
      <c r="T9" s="456">
        <v>1</v>
      </c>
      <c r="U9" s="456">
        <v>24675</v>
      </c>
    </row>
    <row r="10" spans="1:23" s="513" customFormat="1" ht="22.5" x14ac:dyDescent="0.25">
      <c r="A10" s="143" t="s">
        <v>245</v>
      </c>
      <c r="B10" s="464" t="s">
        <v>557</v>
      </c>
      <c r="C10" s="465">
        <v>74482</v>
      </c>
      <c r="D10" s="511">
        <v>0</v>
      </c>
      <c r="E10" s="514">
        <v>45223</v>
      </c>
      <c r="F10" s="456">
        <v>0</v>
      </c>
      <c r="G10" s="456">
        <v>0</v>
      </c>
      <c r="H10" s="456">
        <v>0</v>
      </c>
      <c r="I10" s="456">
        <v>0</v>
      </c>
      <c r="J10" s="456">
        <v>0</v>
      </c>
      <c r="K10" s="458">
        <v>0</v>
      </c>
      <c r="L10" s="456">
        <v>0</v>
      </c>
      <c r="M10" s="456">
        <v>0</v>
      </c>
      <c r="N10" s="456">
        <v>0</v>
      </c>
      <c r="O10" s="456">
        <v>0</v>
      </c>
      <c r="P10" s="456">
        <v>0</v>
      </c>
      <c r="Q10" s="456">
        <f t="shared" si="0"/>
        <v>0</v>
      </c>
      <c r="R10" s="456">
        <v>0</v>
      </c>
      <c r="S10" s="456">
        <v>0</v>
      </c>
      <c r="T10" s="456">
        <v>0</v>
      </c>
      <c r="U10" s="456">
        <v>0</v>
      </c>
    </row>
    <row r="11" spans="1:23" s="513" customFormat="1" ht="45" x14ac:dyDescent="0.25">
      <c r="A11" s="143" t="s">
        <v>540</v>
      </c>
      <c r="B11" s="464" t="s">
        <v>575</v>
      </c>
      <c r="C11" s="465">
        <v>75602</v>
      </c>
      <c r="D11" s="511">
        <v>398038.64</v>
      </c>
      <c r="E11" s="514">
        <v>45225</v>
      </c>
      <c r="F11" s="456">
        <v>39</v>
      </c>
      <c r="G11" s="456">
        <v>1350253.98</v>
      </c>
      <c r="H11" s="456">
        <v>0</v>
      </c>
      <c r="I11" s="456">
        <v>0</v>
      </c>
      <c r="J11" s="366">
        <v>19</v>
      </c>
      <c r="K11" s="574">
        <v>398038.64</v>
      </c>
      <c r="L11" s="456">
        <v>19</v>
      </c>
      <c r="M11" s="456">
        <v>14</v>
      </c>
      <c r="N11" s="456">
        <v>389214.24000000005</v>
      </c>
      <c r="O11" s="456">
        <v>2</v>
      </c>
      <c r="P11" s="456">
        <v>76250</v>
      </c>
      <c r="Q11" s="456">
        <f t="shared" si="0"/>
        <v>8824.3999999999651</v>
      </c>
      <c r="R11" s="456">
        <v>7</v>
      </c>
      <c r="S11" s="456">
        <v>117626.35</v>
      </c>
      <c r="T11" s="456">
        <v>1</v>
      </c>
      <c r="U11" s="456">
        <v>22000</v>
      </c>
    </row>
    <row r="12" spans="1:23" s="513" customFormat="1" ht="22.5" x14ac:dyDescent="0.25">
      <c r="A12" s="143" t="s">
        <v>245</v>
      </c>
      <c r="B12" s="464" t="s">
        <v>612</v>
      </c>
      <c r="C12" s="465">
        <v>76821</v>
      </c>
      <c r="D12" s="511">
        <v>800000</v>
      </c>
      <c r="E12" s="480">
        <v>45377.999988425923</v>
      </c>
      <c r="F12" s="456">
        <v>4</v>
      </c>
      <c r="G12" s="456">
        <v>799999.97</v>
      </c>
      <c r="H12" s="456">
        <v>0</v>
      </c>
      <c r="I12" s="456">
        <v>0</v>
      </c>
      <c r="J12" s="456">
        <v>1</v>
      </c>
      <c r="K12" s="456">
        <v>199999.97</v>
      </c>
      <c r="L12" s="456">
        <v>0</v>
      </c>
      <c r="M12" s="456">
        <v>0</v>
      </c>
      <c r="N12" s="456">
        <v>0</v>
      </c>
      <c r="O12" s="456">
        <v>0</v>
      </c>
      <c r="P12" s="456">
        <v>0</v>
      </c>
      <c r="Q12" s="456">
        <f t="shared" si="0"/>
        <v>199999.97</v>
      </c>
      <c r="R12" s="456">
        <v>0</v>
      </c>
      <c r="S12" s="456">
        <v>0</v>
      </c>
      <c r="T12" s="456">
        <v>0</v>
      </c>
      <c r="U12" s="456">
        <v>0</v>
      </c>
    </row>
    <row r="13" spans="1:23" s="513" customFormat="1" ht="33.75" x14ac:dyDescent="0.25">
      <c r="A13" s="143" t="s">
        <v>242</v>
      </c>
      <c r="B13" s="464" t="s">
        <v>613</v>
      </c>
      <c r="C13" s="465">
        <v>78581</v>
      </c>
      <c r="D13" s="511">
        <v>210000</v>
      </c>
      <c r="E13" s="480">
        <v>45394</v>
      </c>
      <c r="F13" s="456">
        <v>17</v>
      </c>
      <c r="G13" s="456">
        <v>595000</v>
      </c>
      <c r="H13" s="456">
        <v>0</v>
      </c>
      <c r="I13" s="456">
        <v>0</v>
      </c>
      <c r="J13" s="456">
        <v>17</v>
      </c>
      <c r="K13" s="458">
        <v>595000</v>
      </c>
      <c r="L13" s="366">
        <v>17</v>
      </c>
      <c r="M13" s="456">
        <v>14</v>
      </c>
      <c r="N13" s="456">
        <v>490000</v>
      </c>
      <c r="O13" s="456">
        <v>0</v>
      </c>
      <c r="P13" s="456">
        <v>0</v>
      </c>
      <c r="Q13" s="456">
        <f t="shared" si="0"/>
        <v>105000</v>
      </c>
      <c r="R13" s="456">
        <v>23</v>
      </c>
      <c r="S13" s="456">
        <v>437500</v>
      </c>
      <c r="T13" s="456">
        <v>12</v>
      </c>
      <c r="U13" s="456">
        <v>294000</v>
      </c>
    </row>
    <row r="14" spans="1:23" s="513" customFormat="1" ht="33.75" x14ac:dyDescent="0.25">
      <c r="A14" s="143" t="s">
        <v>540</v>
      </c>
      <c r="B14" s="464" t="s">
        <v>613</v>
      </c>
      <c r="C14" s="465">
        <v>78624</v>
      </c>
      <c r="D14" s="511">
        <v>212893.26</v>
      </c>
      <c r="E14" s="480">
        <v>45394</v>
      </c>
      <c r="F14" s="456">
        <v>12</v>
      </c>
      <c r="G14" s="456">
        <v>290968.25</v>
      </c>
      <c r="H14" s="456">
        <v>0</v>
      </c>
      <c r="I14" s="456">
        <v>0</v>
      </c>
      <c r="J14" s="456">
        <v>11</v>
      </c>
      <c r="K14" s="458">
        <v>276761.14</v>
      </c>
      <c r="L14" s="456">
        <v>8</v>
      </c>
      <c r="M14" s="456">
        <v>8</v>
      </c>
      <c r="N14" s="456">
        <v>189311.11</v>
      </c>
      <c r="O14" s="456">
        <v>4</v>
      </c>
      <c r="P14" s="456">
        <v>99161.65</v>
      </c>
      <c r="Q14" s="456">
        <f t="shared" si="0"/>
        <v>87450.030000000028</v>
      </c>
      <c r="R14" s="456">
        <v>4</v>
      </c>
      <c r="S14" s="456">
        <v>67548.739999999991</v>
      </c>
      <c r="T14" s="456">
        <v>0</v>
      </c>
      <c r="U14" s="456">
        <v>0</v>
      </c>
    </row>
    <row r="15" spans="1:23" s="513" customFormat="1" ht="33.75" x14ac:dyDescent="0.25">
      <c r="A15" s="143" t="s">
        <v>238</v>
      </c>
      <c r="B15" s="464" t="s">
        <v>614</v>
      </c>
      <c r="C15" s="465">
        <v>78626</v>
      </c>
      <c r="D15" s="511">
        <v>400000</v>
      </c>
      <c r="E15" s="480">
        <v>45387</v>
      </c>
      <c r="F15" s="456">
        <v>4</v>
      </c>
      <c r="G15" s="456">
        <v>400000</v>
      </c>
      <c r="H15" s="456">
        <v>0</v>
      </c>
      <c r="I15" s="456">
        <v>0</v>
      </c>
      <c r="J15" s="456">
        <v>4</v>
      </c>
      <c r="K15" s="458">
        <v>400000</v>
      </c>
      <c r="L15" s="456">
        <v>2</v>
      </c>
      <c r="M15" s="456">
        <v>0</v>
      </c>
      <c r="N15" s="456">
        <v>0</v>
      </c>
      <c r="O15" s="456">
        <v>0</v>
      </c>
      <c r="P15" s="456">
        <v>0</v>
      </c>
      <c r="Q15" s="456">
        <f t="shared" si="0"/>
        <v>400000</v>
      </c>
      <c r="R15" s="456">
        <v>0</v>
      </c>
      <c r="S15" s="456">
        <v>0</v>
      </c>
      <c r="T15" s="456">
        <v>0</v>
      </c>
      <c r="U15" s="456">
        <v>0</v>
      </c>
      <c r="V15" s="474"/>
      <c r="W15" s="479"/>
    </row>
    <row r="16" spans="1:23" s="12" customFormat="1" ht="11.25" x14ac:dyDescent="0.2">
      <c r="A16" s="19" t="s">
        <v>1</v>
      </c>
      <c r="B16" s="19"/>
      <c r="C16" s="60"/>
      <c r="D16" s="20">
        <f>SUM(D6:D15)</f>
        <v>4247124.5</v>
      </c>
      <c r="E16" s="20"/>
      <c r="F16" s="20">
        <f t="shared" ref="F16:U16" si="1">SUM(F6:F15)</f>
        <v>187</v>
      </c>
      <c r="G16" s="20">
        <f t="shared" si="1"/>
        <v>7689487.29</v>
      </c>
      <c r="H16" s="20">
        <f t="shared" si="1"/>
        <v>0</v>
      </c>
      <c r="I16" s="20">
        <f t="shared" si="1"/>
        <v>0</v>
      </c>
      <c r="J16" s="20">
        <f t="shared" si="1"/>
        <v>98</v>
      </c>
      <c r="K16" s="20">
        <f t="shared" si="1"/>
        <v>3891514.2</v>
      </c>
      <c r="L16" s="20">
        <f t="shared" si="1"/>
        <v>92</v>
      </c>
      <c r="M16" s="20">
        <f t="shared" si="1"/>
        <v>81</v>
      </c>
      <c r="N16" s="20">
        <f t="shared" si="1"/>
        <v>3065239.8</v>
      </c>
      <c r="O16" s="20">
        <f t="shared" si="1"/>
        <v>34</v>
      </c>
      <c r="P16" s="20">
        <f t="shared" si="1"/>
        <v>1230002.5299999998</v>
      </c>
      <c r="Q16" s="20">
        <f t="shared" si="1"/>
        <v>826274.4</v>
      </c>
      <c r="R16" s="20">
        <f t="shared" si="1"/>
        <v>83</v>
      </c>
      <c r="S16" s="20">
        <f t="shared" si="1"/>
        <v>1919080.4200000002</v>
      </c>
      <c r="T16" s="530">
        <f t="shared" si="1"/>
        <v>54</v>
      </c>
      <c r="U16" s="530">
        <f t="shared" si="1"/>
        <v>1397108</v>
      </c>
    </row>
    <row r="17" spans="1:23" ht="15" customHeight="1" x14ac:dyDescent="0.25">
      <c r="A17" s="219" t="s">
        <v>390</v>
      </c>
      <c r="B17" s="140"/>
      <c r="C17" s="140"/>
      <c r="D17" s="140"/>
      <c r="E17" s="140"/>
      <c r="F17" s="140"/>
      <c r="G17" s="140"/>
      <c r="H17" s="140"/>
      <c r="I17" s="140"/>
      <c r="J17" s="140"/>
      <c r="K17" s="140"/>
      <c r="L17" s="140"/>
      <c r="M17" s="140"/>
      <c r="N17" s="140"/>
      <c r="O17" s="140"/>
      <c r="P17" s="140"/>
      <c r="Q17" s="140"/>
      <c r="R17" s="140"/>
    </row>
    <row r="18" spans="1:23" s="23" customFormat="1" ht="24.6" customHeight="1" x14ac:dyDescent="0.25">
      <c r="A18" s="1148" t="s">
        <v>732</v>
      </c>
      <c r="B18" s="1148"/>
      <c r="C18" s="1148"/>
      <c r="D18" s="1148"/>
      <c r="E18" s="1148"/>
      <c r="F18" s="1148"/>
      <c r="G18" s="1148"/>
      <c r="H18" s="1148"/>
      <c r="I18" s="1148"/>
      <c r="J18" s="1148"/>
      <c r="K18" s="1148"/>
      <c r="L18" s="1148"/>
      <c r="M18" s="1148"/>
      <c r="N18" s="1148"/>
      <c r="O18" s="1148"/>
      <c r="P18" s="1148"/>
      <c r="Q18" s="1148"/>
      <c r="R18" s="1148"/>
      <c r="S18" s="1148"/>
      <c r="T18" s="1148"/>
      <c r="U18" s="1148"/>
      <c r="V18" s="90"/>
    </row>
    <row r="19" spans="1:23" s="12" customFormat="1" ht="19.5" customHeight="1" x14ac:dyDescent="0.2">
      <c r="B19" s="1149" t="s">
        <v>654</v>
      </c>
      <c r="C19" s="1150"/>
      <c r="D19" s="1149"/>
      <c r="E19" s="1149"/>
      <c r="F19" s="1149"/>
      <c r="G19" s="1149"/>
      <c r="H19" s="1150"/>
      <c r="I19" s="1150"/>
      <c r="J19" s="1149"/>
      <c r="K19" s="1149"/>
      <c r="L19" s="1149"/>
      <c r="M19" s="1149"/>
      <c r="N19" s="1149"/>
      <c r="O19" s="1149"/>
      <c r="P19" s="1149"/>
      <c r="Q19" s="1149"/>
      <c r="R19" s="1149"/>
      <c r="S19" s="1149"/>
      <c r="T19" s="1149"/>
      <c r="U19" s="1149"/>
    </row>
    <row r="20" spans="1:23" s="12" customFormat="1" ht="20.25" customHeight="1" x14ac:dyDescent="0.2">
      <c r="A20" s="966" t="s">
        <v>248</v>
      </c>
      <c r="B20" s="966" t="s">
        <v>156</v>
      </c>
      <c r="C20" s="966" t="s">
        <v>282</v>
      </c>
      <c r="D20" s="966" t="s">
        <v>157</v>
      </c>
      <c r="E20" s="966" t="s">
        <v>158</v>
      </c>
      <c r="F20" s="997" t="s">
        <v>337</v>
      </c>
      <c r="G20" s="998"/>
      <c r="H20" s="997" t="s">
        <v>277</v>
      </c>
      <c r="I20" s="998"/>
      <c r="J20" s="997" t="s">
        <v>159</v>
      </c>
      <c r="K20" s="998"/>
      <c r="L20" s="976" t="s">
        <v>717</v>
      </c>
      <c r="M20" s="977"/>
      <c r="N20" s="977"/>
      <c r="O20" s="977"/>
      <c r="P20" s="978"/>
      <c r="Q20" s="966" t="s">
        <v>250</v>
      </c>
      <c r="R20" s="969" t="s">
        <v>718</v>
      </c>
      <c r="S20" s="970"/>
      <c r="T20" s="969" t="s">
        <v>719</v>
      </c>
      <c r="U20" s="970"/>
      <c r="V20" s="96"/>
      <c r="W20" s="96"/>
    </row>
    <row r="21" spans="1:23" s="12" customFormat="1" ht="10.15" customHeight="1" x14ac:dyDescent="0.2">
      <c r="A21" s="967"/>
      <c r="B21" s="967"/>
      <c r="C21" s="967"/>
      <c r="D21" s="967"/>
      <c r="E21" s="967"/>
      <c r="F21" s="971"/>
      <c r="G21" s="972"/>
      <c r="H21" s="971"/>
      <c r="I21" s="972"/>
      <c r="J21" s="971"/>
      <c r="K21" s="972"/>
      <c r="L21" s="1143" t="s">
        <v>160</v>
      </c>
      <c r="M21" s="977"/>
      <c r="N21" s="978"/>
      <c r="O21" s="997" t="s">
        <v>631</v>
      </c>
      <c r="P21" s="998"/>
      <c r="Q21" s="967"/>
      <c r="R21" s="971"/>
      <c r="S21" s="972"/>
      <c r="T21" s="971"/>
      <c r="U21" s="972"/>
      <c r="V21" s="96"/>
      <c r="W21" s="96"/>
    </row>
    <row r="22" spans="1:23" s="12" customFormat="1" ht="21" customHeight="1" x14ac:dyDescent="0.2">
      <c r="A22" s="967"/>
      <c r="B22" s="967"/>
      <c r="C22" s="967"/>
      <c r="D22" s="967"/>
      <c r="E22" s="967"/>
      <c r="F22" s="973"/>
      <c r="G22" s="974"/>
      <c r="H22" s="973"/>
      <c r="I22" s="974"/>
      <c r="J22" s="973"/>
      <c r="K22" s="974"/>
      <c r="L22" s="979" t="s">
        <v>161</v>
      </c>
      <c r="M22" s="1143" t="s">
        <v>247</v>
      </c>
      <c r="N22" s="978"/>
      <c r="O22" s="973"/>
      <c r="P22" s="974"/>
      <c r="Q22" s="975"/>
      <c r="R22" s="973"/>
      <c r="S22" s="974"/>
      <c r="T22" s="973"/>
      <c r="U22" s="974"/>
      <c r="V22" s="96"/>
      <c r="W22" s="96"/>
    </row>
    <row r="23" spans="1:23" s="12" customFormat="1" ht="21.75" x14ac:dyDescent="0.2">
      <c r="A23" s="975"/>
      <c r="B23" s="975"/>
      <c r="C23" s="975"/>
      <c r="D23" s="975"/>
      <c r="E23" s="975"/>
      <c r="F23" s="127" t="s">
        <v>161</v>
      </c>
      <c r="G23" s="128" t="s">
        <v>162</v>
      </c>
      <c r="H23" s="15" t="s">
        <v>161</v>
      </c>
      <c r="I23" s="16" t="s">
        <v>162</v>
      </c>
      <c r="J23" s="127" t="s">
        <v>161</v>
      </c>
      <c r="K23" s="128" t="s">
        <v>162</v>
      </c>
      <c r="L23" s="1142"/>
      <c r="M23" s="160" t="s">
        <v>161</v>
      </c>
      <c r="N23" s="130" t="s">
        <v>162</v>
      </c>
      <c r="O23" s="160" t="s">
        <v>161</v>
      </c>
      <c r="P23" s="130" t="s">
        <v>162</v>
      </c>
      <c r="Q23" s="16" t="s">
        <v>162</v>
      </c>
      <c r="R23" s="15" t="s">
        <v>161</v>
      </c>
      <c r="S23" s="16" t="s">
        <v>162</v>
      </c>
      <c r="T23" s="78" t="s">
        <v>161</v>
      </c>
      <c r="U23" s="79" t="s">
        <v>162</v>
      </c>
      <c r="V23" s="96"/>
      <c r="W23" s="96"/>
    </row>
    <row r="24" spans="1:23" s="12" customFormat="1" ht="33.6" customHeight="1" x14ac:dyDescent="0.2">
      <c r="A24" s="340" t="s">
        <v>55</v>
      </c>
      <c r="B24" s="452" t="s">
        <v>535</v>
      </c>
      <c r="C24" s="465">
        <v>18361</v>
      </c>
      <c r="D24" s="515">
        <v>149994.57999999999</v>
      </c>
      <c r="E24" s="509">
        <v>43404.999988425923</v>
      </c>
      <c r="F24" s="456">
        <v>1</v>
      </c>
      <c r="G24" s="456">
        <v>150000</v>
      </c>
      <c r="H24" s="456">
        <v>0</v>
      </c>
      <c r="I24" s="456">
        <v>0</v>
      </c>
      <c r="J24" s="456">
        <v>1</v>
      </c>
      <c r="K24" s="456">
        <v>149994.57999999999</v>
      </c>
      <c r="L24" s="456">
        <v>1</v>
      </c>
      <c r="M24" s="456">
        <v>1</v>
      </c>
      <c r="N24" s="456">
        <v>149994.57999999999</v>
      </c>
      <c r="O24" s="456">
        <v>0</v>
      </c>
      <c r="P24" s="456">
        <v>0</v>
      </c>
      <c r="Q24" s="456">
        <f t="shared" ref="Q24:Q31" si="2">K24-N24</f>
        <v>0</v>
      </c>
      <c r="R24" s="456">
        <v>1</v>
      </c>
      <c r="S24" s="456">
        <v>135710.07</v>
      </c>
      <c r="T24" s="456">
        <v>0</v>
      </c>
      <c r="U24" s="456">
        <v>0</v>
      </c>
    </row>
    <row r="25" spans="1:23" s="12" customFormat="1" ht="33.75" x14ac:dyDescent="0.2">
      <c r="A25" s="340" t="s">
        <v>63</v>
      </c>
      <c r="B25" s="464" t="s">
        <v>490</v>
      </c>
      <c r="C25" s="152">
        <v>21055</v>
      </c>
      <c r="D25" s="515">
        <v>0</v>
      </c>
      <c r="E25" s="509">
        <v>43539.999988425923</v>
      </c>
      <c r="F25" s="456">
        <v>1</v>
      </c>
      <c r="G25" s="458">
        <v>250000</v>
      </c>
      <c r="H25" s="456">
        <v>0</v>
      </c>
      <c r="I25" s="456">
        <v>0</v>
      </c>
      <c r="J25" s="456">
        <v>0</v>
      </c>
      <c r="K25" s="456">
        <v>0</v>
      </c>
      <c r="L25" s="456">
        <v>0</v>
      </c>
      <c r="M25" s="456">
        <v>0</v>
      </c>
      <c r="N25" s="456">
        <v>0</v>
      </c>
      <c r="O25" s="456">
        <v>1</v>
      </c>
      <c r="P25" s="456">
        <v>238991.37</v>
      </c>
      <c r="Q25" s="456">
        <f t="shared" si="2"/>
        <v>0</v>
      </c>
      <c r="R25" s="456">
        <v>0</v>
      </c>
      <c r="S25" s="456">
        <v>0</v>
      </c>
      <c r="T25" s="456">
        <v>0</v>
      </c>
      <c r="U25" s="456">
        <v>0</v>
      </c>
    </row>
    <row r="26" spans="1:23" s="12" customFormat="1" ht="33.75" x14ac:dyDescent="0.2">
      <c r="A26" s="340" t="s">
        <v>236</v>
      </c>
      <c r="B26" s="464" t="s">
        <v>534</v>
      </c>
      <c r="C26" s="152">
        <v>29682</v>
      </c>
      <c r="D26" s="515">
        <v>720000</v>
      </c>
      <c r="E26" s="509">
        <v>43651.999988425923</v>
      </c>
      <c r="F26" s="456">
        <v>18</v>
      </c>
      <c r="G26" s="456">
        <v>1375745.6</v>
      </c>
      <c r="H26" s="456">
        <v>0</v>
      </c>
      <c r="I26" s="456">
        <v>0</v>
      </c>
      <c r="J26" s="456">
        <v>17</v>
      </c>
      <c r="K26" s="458">
        <v>1255955.5900000001</v>
      </c>
      <c r="L26" s="456">
        <v>6</v>
      </c>
      <c r="M26" s="456">
        <v>6</v>
      </c>
      <c r="N26" s="456">
        <f>652587.16-44000</f>
        <v>608587.16</v>
      </c>
      <c r="O26" s="456">
        <v>2</v>
      </c>
      <c r="P26" s="456">
        <f>119790.01+44000</f>
        <v>163790.01</v>
      </c>
      <c r="Q26" s="456">
        <f t="shared" si="2"/>
        <v>647368.43000000005</v>
      </c>
      <c r="R26" s="456">
        <v>9</v>
      </c>
      <c r="S26" s="456">
        <v>418411.55</v>
      </c>
      <c r="T26" s="456">
        <v>4</v>
      </c>
      <c r="U26" s="456">
        <v>215993.84000000003</v>
      </c>
    </row>
    <row r="27" spans="1:23" s="12" customFormat="1" ht="33.75" x14ac:dyDescent="0.2">
      <c r="A27" s="143" t="s">
        <v>63</v>
      </c>
      <c r="B27" s="464" t="s">
        <v>368</v>
      </c>
      <c r="C27" s="152">
        <v>40126</v>
      </c>
      <c r="D27" s="451">
        <v>450000</v>
      </c>
      <c r="E27" s="509">
        <v>44592</v>
      </c>
      <c r="F27" s="456">
        <v>0</v>
      </c>
      <c r="G27" s="456">
        <v>0</v>
      </c>
      <c r="H27" s="456">
        <v>0</v>
      </c>
      <c r="I27" s="456">
        <v>0</v>
      </c>
      <c r="J27" s="456">
        <v>0</v>
      </c>
      <c r="K27" s="458">
        <v>0</v>
      </c>
      <c r="L27" s="456">
        <v>0</v>
      </c>
      <c r="M27" s="456">
        <v>0</v>
      </c>
      <c r="N27" s="456">
        <v>0</v>
      </c>
      <c r="O27" s="456">
        <v>0</v>
      </c>
      <c r="P27" s="456">
        <v>0</v>
      </c>
      <c r="Q27" s="456">
        <f t="shared" si="2"/>
        <v>0</v>
      </c>
      <c r="R27" s="456">
        <v>0</v>
      </c>
      <c r="S27" s="456">
        <v>0</v>
      </c>
      <c r="T27" s="456">
        <v>0</v>
      </c>
      <c r="U27" s="456">
        <v>0</v>
      </c>
    </row>
    <row r="28" spans="1:23" s="12" customFormat="1" ht="33.75" x14ac:dyDescent="0.2">
      <c r="A28" s="143" t="s">
        <v>275</v>
      </c>
      <c r="B28" s="464" t="s">
        <v>371</v>
      </c>
      <c r="C28" s="152">
        <v>40125</v>
      </c>
      <c r="D28" s="512">
        <v>115610.76</v>
      </c>
      <c r="E28" s="509">
        <v>44043</v>
      </c>
      <c r="F28" s="456">
        <v>7</v>
      </c>
      <c r="G28" s="456">
        <v>296768</v>
      </c>
      <c r="H28" s="456">
        <v>0</v>
      </c>
      <c r="I28" s="456">
        <v>0</v>
      </c>
      <c r="J28" s="456">
        <v>3</v>
      </c>
      <c r="K28" s="512">
        <v>148500</v>
      </c>
      <c r="L28" s="456">
        <v>3</v>
      </c>
      <c r="M28" s="456">
        <v>3</v>
      </c>
      <c r="N28" s="512">
        <v>148500</v>
      </c>
      <c r="O28" s="456">
        <v>4</v>
      </c>
      <c r="P28" s="456">
        <f>97468+49333.86</f>
        <v>146801.85999999999</v>
      </c>
      <c r="Q28" s="456">
        <f t="shared" si="2"/>
        <v>0</v>
      </c>
      <c r="R28" s="456">
        <v>0</v>
      </c>
      <c r="S28" s="456">
        <v>0</v>
      </c>
      <c r="T28" s="456">
        <v>0</v>
      </c>
      <c r="U28" s="456">
        <v>0</v>
      </c>
    </row>
    <row r="29" spans="1:23" s="12" customFormat="1" ht="33.75" x14ac:dyDescent="0.2">
      <c r="A29" s="357" t="s">
        <v>236</v>
      </c>
      <c r="B29" s="464" t="s">
        <v>534</v>
      </c>
      <c r="C29" s="465">
        <v>78023</v>
      </c>
      <c r="D29" s="512">
        <v>554324.4</v>
      </c>
      <c r="E29" s="480">
        <v>45350</v>
      </c>
      <c r="F29" s="456">
        <v>11</v>
      </c>
      <c r="G29" s="456">
        <v>636762.89</v>
      </c>
      <c r="H29" s="456">
        <v>0</v>
      </c>
      <c r="I29" s="456">
        <v>0</v>
      </c>
      <c r="J29" s="366">
        <v>6</v>
      </c>
      <c r="K29" s="535">
        <v>259153.73</v>
      </c>
      <c r="L29" s="366">
        <v>6</v>
      </c>
      <c r="M29" s="366">
        <v>6</v>
      </c>
      <c r="N29" s="535">
        <v>259153.73</v>
      </c>
      <c r="O29" s="366">
        <v>5</v>
      </c>
      <c r="P29" s="366">
        <v>377609.16</v>
      </c>
      <c r="Q29" s="456">
        <f t="shared" si="2"/>
        <v>0</v>
      </c>
      <c r="R29" s="456">
        <v>2</v>
      </c>
      <c r="S29" s="456">
        <v>58046.649999999994</v>
      </c>
      <c r="T29" s="456">
        <v>0</v>
      </c>
      <c r="U29" s="456">
        <v>0</v>
      </c>
    </row>
    <row r="30" spans="1:23" s="12" customFormat="1" ht="33.75" x14ac:dyDescent="0.2">
      <c r="A30" s="357" t="s">
        <v>63</v>
      </c>
      <c r="B30" s="464" t="s">
        <v>369</v>
      </c>
      <c r="C30" s="465">
        <v>78041</v>
      </c>
      <c r="D30" s="512">
        <v>0</v>
      </c>
      <c r="E30" s="480">
        <v>45350</v>
      </c>
      <c r="F30" s="456">
        <v>1</v>
      </c>
      <c r="G30" s="456">
        <v>250000</v>
      </c>
      <c r="H30" s="456">
        <v>0</v>
      </c>
      <c r="I30" s="456">
        <v>0</v>
      </c>
      <c r="J30" s="456">
        <v>0</v>
      </c>
      <c r="K30" s="456">
        <v>0</v>
      </c>
      <c r="L30" s="456">
        <v>0</v>
      </c>
      <c r="M30" s="456">
        <v>0</v>
      </c>
      <c r="N30" s="456">
        <v>0</v>
      </c>
      <c r="O30" s="456">
        <v>1</v>
      </c>
      <c r="P30" s="456">
        <v>250000</v>
      </c>
      <c r="Q30" s="456">
        <f t="shared" si="2"/>
        <v>0</v>
      </c>
      <c r="R30" s="456">
        <v>0</v>
      </c>
      <c r="S30" s="456">
        <v>0</v>
      </c>
      <c r="T30" s="456">
        <v>0</v>
      </c>
      <c r="U30" s="456">
        <v>0</v>
      </c>
    </row>
    <row r="31" spans="1:23" s="12" customFormat="1" ht="63.6" customHeight="1" x14ac:dyDescent="0.2">
      <c r="A31" s="357" t="s">
        <v>245</v>
      </c>
      <c r="B31" s="452" t="s">
        <v>633</v>
      </c>
      <c r="C31" s="465">
        <v>80246</v>
      </c>
      <c r="D31" s="512">
        <v>1337160</v>
      </c>
      <c r="E31" s="480">
        <v>45453</v>
      </c>
      <c r="F31" s="456">
        <v>9</v>
      </c>
      <c r="G31" s="456">
        <v>1761471.1800000002</v>
      </c>
      <c r="H31" s="456">
        <v>0</v>
      </c>
      <c r="I31" s="456">
        <v>0</v>
      </c>
      <c r="J31" s="456">
        <v>8</v>
      </c>
      <c r="K31" s="535">
        <v>1557886.26</v>
      </c>
      <c r="L31" s="456">
        <v>8</v>
      </c>
      <c r="M31" s="456">
        <v>8</v>
      </c>
      <c r="N31" s="456">
        <v>1558345.49</v>
      </c>
      <c r="O31" s="456">
        <v>1</v>
      </c>
      <c r="P31" s="456">
        <v>200000.27</v>
      </c>
      <c r="Q31" s="456">
        <f t="shared" si="2"/>
        <v>-459.22999999998137</v>
      </c>
      <c r="R31" s="456">
        <v>0</v>
      </c>
      <c r="S31" s="456">
        <v>0</v>
      </c>
      <c r="T31" s="456">
        <v>0</v>
      </c>
      <c r="U31" s="456">
        <v>0</v>
      </c>
    </row>
    <row r="32" spans="1:23" s="12" customFormat="1" ht="11.25" x14ac:dyDescent="0.2">
      <c r="A32" s="19" t="s">
        <v>1</v>
      </c>
      <c r="B32" s="19"/>
      <c r="C32" s="60"/>
      <c r="D32" s="20">
        <f>SUM(D24:D31)</f>
        <v>3327089.74</v>
      </c>
      <c r="E32" s="20"/>
      <c r="F32" s="20">
        <f t="shared" ref="F32:U32" si="3">SUM(F24:F31)</f>
        <v>48</v>
      </c>
      <c r="G32" s="20">
        <f t="shared" si="3"/>
        <v>4720747.67</v>
      </c>
      <c r="H32" s="20">
        <f t="shared" si="3"/>
        <v>0</v>
      </c>
      <c r="I32" s="20">
        <f t="shared" si="3"/>
        <v>0</v>
      </c>
      <c r="J32" s="20">
        <f t="shared" si="3"/>
        <v>35</v>
      </c>
      <c r="K32" s="20">
        <f t="shared" si="3"/>
        <v>3371490.16</v>
      </c>
      <c r="L32" s="20">
        <f t="shared" si="3"/>
        <v>24</v>
      </c>
      <c r="M32" s="20">
        <f t="shared" si="3"/>
        <v>24</v>
      </c>
      <c r="N32" s="20">
        <f t="shared" si="3"/>
        <v>2724580.96</v>
      </c>
      <c r="O32" s="20">
        <f t="shared" si="3"/>
        <v>14</v>
      </c>
      <c r="P32" s="20">
        <f t="shared" si="3"/>
        <v>1377192.67</v>
      </c>
      <c r="Q32" s="20">
        <f t="shared" si="3"/>
        <v>646909.20000000007</v>
      </c>
      <c r="R32" s="20">
        <f t="shared" si="3"/>
        <v>12</v>
      </c>
      <c r="S32" s="20">
        <f t="shared" si="3"/>
        <v>612168.27</v>
      </c>
      <c r="T32" s="530">
        <f t="shared" si="3"/>
        <v>4</v>
      </c>
      <c r="U32" s="530">
        <f t="shared" si="3"/>
        <v>215993.84000000003</v>
      </c>
    </row>
    <row r="33" spans="1:22" ht="15" customHeight="1" x14ac:dyDescent="0.25">
      <c r="A33" s="219" t="s">
        <v>390</v>
      </c>
      <c r="B33" s="140"/>
      <c r="C33" s="140"/>
      <c r="D33" s="140"/>
      <c r="E33" s="140"/>
      <c r="F33" s="140"/>
      <c r="G33" s="140"/>
      <c r="H33" s="140"/>
      <c r="I33" s="140"/>
      <c r="J33" s="140"/>
      <c r="K33" s="140"/>
      <c r="L33" s="140"/>
      <c r="M33" s="140"/>
      <c r="N33" s="140"/>
      <c r="O33" s="140"/>
      <c r="P33" s="140"/>
      <c r="Q33" s="140"/>
      <c r="R33" s="140"/>
    </row>
    <row r="34" spans="1:22" s="23" customFormat="1" ht="21" customHeight="1" x14ac:dyDescent="0.25">
      <c r="A34" s="1148" t="s">
        <v>732</v>
      </c>
      <c r="B34" s="1148"/>
      <c r="C34" s="1148"/>
      <c r="D34" s="1148"/>
      <c r="E34" s="1148"/>
      <c r="F34" s="1148"/>
      <c r="G34" s="1148"/>
      <c r="H34" s="1148"/>
      <c r="I34" s="1148"/>
      <c r="J34" s="1148"/>
      <c r="K34" s="1148"/>
      <c r="L34" s="1148"/>
      <c r="M34" s="1148"/>
      <c r="N34" s="1148"/>
      <c r="O34" s="1148"/>
      <c r="P34" s="1148"/>
      <c r="Q34" s="1148"/>
      <c r="R34" s="1148"/>
      <c r="S34" s="1148"/>
      <c r="T34" s="1148"/>
      <c r="U34" s="1148"/>
      <c r="V34" s="90"/>
    </row>
    <row r="37" spans="1:22" x14ac:dyDescent="0.25">
      <c r="K37" s="50"/>
    </row>
  </sheetData>
  <mergeCells count="36">
    <mergeCell ref="A34:U34"/>
    <mergeCell ref="A1:U1"/>
    <mergeCell ref="A2:A5"/>
    <mergeCell ref="B2:B5"/>
    <mergeCell ref="D2:D5"/>
    <mergeCell ref="E2:E5"/>
    <mergeCell ref="F2:G4"/>
    <mergeCell ref="J2:K4"/>
    <mergeCell ref="L2:P2"/>
    <mergeCell ref="Q2:Q4"/>
    <mergeCell ref="R2:S4"/>
    <mergeCell ref="C2:C5"/>
    <mergeCell ref="A20:A23"/>
    <mergeCell ref="B19:U19"/>
    <mergeCell ref="L20:P20"/>
    <mergeCell ref="L3:N3"/>
    <mergeCell ref="O3:P4"/>
    <mergeCell ref="M4:N4"/>
    <mergeCell ref="L4:L5"/>
    <mergeCell ref="A18:U18"/>
    <mergeCell ref="H2:I4"/>
    <mergeCell ref="T2:U4"/>
    <mergeCell ref="E20:E23"/>
    <mergeCell ref="B20:B23"/>
    <mergeCell ref="T20:U22"/>
    <mergeCell ref="L21:N21"/>
    <mergeCell ref="O21:P22"/>
    <mergeCell ref="L22:L23"/>
    <mergeCell ref="C20:C23"/>
    <mergeCell ref="M22:N22"/>
    <mergeCell ref="J20:K22"/>
    <mergeCell ref="F20:G22"/>
    <mergeCell ref="D20:D23"/>
    <mergeCell ref="H20:I22"/>
    <mergeCell ref="Q20:Q22"/>
    <mergeCell ref="R20:S22"/>
  </mergeCells>
  <printOptions horizontalCentered="1"/>
  <pageMargins left="0.70866141732283472" right="0.70866141732283472" top="0.74803149606299213" bottom="0.74803149606299213" header="0.31496062992125984" footer="0.31496062992125984"/>
  <pageSetup paperSize="9" scale="64" orientation="landscape" r:id="rId1"/>
  <rowBreaks count="1" manualBreakCount="1">
    <brk id="18" max="22"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A42"/>
  <sheetViews>
    <sheetView view="pageBreakPreview" topLeftCell="C31" zoomScaleNormal="100" zoomScaleSheetLayoutView="100" workbookViewId="0">
      <selection activeCell="T10" sqref="T10:U10"/>
    </sheetView>
  </sheetViews>
  <sheetFormatPr defaultColWidth="9.140625" defaultRowHeight="11.25" x14ac:dyDescent="0.2"/>
  <cols>
    <col min="1" max="1" width="6.28515625" style="12" customWidth="1"/>
    <col min="2" max="2" width="25.85546875" style="12" customWidth="1"/>
    <col min="3" max="3" width="6.42578125" style="12" customWidth="1"/>
    <col min="4" max="4" width="10.42578125" style="12" customWidth="1"/>
    <col min="5" max="5" width="11.7109375" style="12" customWidth="1"/>
    <col min="6" max="6" width="3.85546875" style="12" customWidth="1"/>
    <col min="7" max="7" width="10" style="12" customWidth="1"/>
    <col min="8" max="8" width="3.140625" style="12" bestFit="1" customWidth="1"/>
    <col min="9" max="9" width="6.85546875" style="12" customWidth="1"/>
    <col min="10" max="10" width="3.140625" style="12" bestFit="1" customWidth="1"/>
    <col min="11" max="11" width="9.85546875" style="12" customWidth="1"/>
    <col min="12" max="12" width="3.140625" style="12" bestFit="1" customWidth="1"/>
    <col min="13" max="13" width="3" style="12" customWidth="1"/>
    <col min="14" max="14" width="7.42578125" style="12" customWidth="1"/>
    <col min="15" max="15" width="3.140625" style="12" bestFit="1" customWidth="1"/>
    <col min="16" max="16" width="7.42578125" style="12" customWidth="1"/>
    <col min="17" max="17" width="8" style="12" customWidth="1"/>
    <col min="18" max="18" width="3.140625" style="12" bestFit="1" customWidth="1"/>
    <col min="19" max="19" width="7.42578125" style="12" customWidth="1"/>
    <col min="20" max="20" width="3.140625" style="12" bestFit="1" customWidth="1"/>
    <col min="21" max="21" width="7.85546875" style="12" bestFit="1" customWidth="1"/>
    <col min="22" max="23" width="9.140625" style="96"/>
    <col min="24" max="24" width="9.140625" style="12"/>
    <col min="25" max="27" width="9.28515625" style="12" bestFit="1" customWidth="1"/>
    <col min="28" max="28" width="10" style="12" bestFit="1" customWidth="1"/>
    <col min="29" max="16384" width="9.140625" style="12"/>
  </cols>
  <sheetData>
    <row r="1" spans="1:23" ht="13.9" customHeight="1" x14ac:dyDescent="0.2">
      <c r="A1" s="1149" t="s">
        <v>655</v>
      </c>
      <c r="B1" s="1149"/>
      <c r="C1" s="1150"/>
      <c r="D1" s="1149"/>
      <c r="E1" s="1149"/>
      <c r="F1" s="1149"/>
      <c r="G1" s="1149"/>
      <c r="H1" s="1150"/>
      <c r="I1" s="1150"/>
      <c r="J1" s="1149"/>
      <c r="K1" s="1149"/>
      <c r="L1" s="1149"/>
      <c r="M1" s="1149"/>
      <c r="N1" s="1149"/>
      <c r="O1" s="1149"/>
      <c r="P1" s="1149"/>
      <c r="Q1" s="1149"/>
      <c r="R1" s="1149"/>
      <c r="S1" s="1149"/>
      <c r="T1" s="1149"/>
      <c r="U1" s="1149"/>
    </row>
    <row r="2" spans="1:23"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row>
    <row r="3" spans="1:23"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row>
    <row r="4" spans="1:23"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row>
    <row r="5" spans="1:23" ht="21.75"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row>
    <row r="6" spans="1:23" ht="28.15" customHeight="1" x14ac:dyDescent="0.2">
      <c r="A6" s="340" t="s">
        <v>63</v>
      </c>
      <c r="B6" s="452" t="s">
        <v>268</v>
      </c>
      <c r="C6" s="357">
        <v>39641</v>
      </c>
      <c r="D6" s="508">
        <v>248381.12</v>
      </c>
      <c r="E6" s="514">
        <v>44119</v>
      </c>
      <c r="F6" s="456">
        <v>2</v>
      </c>
      <c r="G6" s="456">
        <v>157950</v>
      </c>
      <c r="H6" s="456">
        <v>0</v>
      </c>
      <c r="I6" s="456">
        <v>0</v>
      </c>
      <c r="J6" s="456">
        <v>1</v>
      </c>
      <c r="K6" s="456">
        <v>81000</v>
      </c>
      <c r="L6" s="456">
        <v>1</v>
      </c>
      <c r="M6" s="456">
        <v>1</v>
      </c>
      <c r="N6" s="456">
        <v>81000</v>
      </c>
      <c r="O6" s="456">
        <v>1</v>
      </c>
      <c r="P6" s="456">
        <v>76950</v>
      </c>
      <c r="Q6" s="456">
        <f>K6-N6</f>
        <v>0</v>
      </c>
      <c r="R6" s="456">
        <v>0</v>
      </c>
      <c r="S6" s="456">
        <v>0</v>
      </c>
      <c r="T6" s="456">
        <v>0</v>
      </c>
      <c r="U6" s="456">
        <v>0</v>
      </c>
      <c r="V6" s="12"/>
      <c r="W6" s="12"/>
    </row>
    <row r="7" spans="1:23" ht="25.9" customHeight="1" x14ac:dyDescent="0.2">
      <c r="A7" s="340" t="s">
        <v>63</v>
      </c>
      <c r="B7" s="452" t="s">
        <v>442</v>
      </c>
      <c r="C7" s="357">
        <v>39601</v>
      </c>
      <c r="D7" s="508">
        <v>157950</v>
      </c>
      <c r="E7" s="514">
        <v>44119</v>
      </c>
      <c r="F7" s="456">
        <v>2</v>
      </c>
      <c r="G7" s="456">
        <v>157950</v>
      </c>
      <c r="H7" s="456">
        <v>0</v>
      </c>
      <c r="I7" s="456">
        <v>0</v>
      </c>
      <c r="J7" s="456">
        <v>2</v>
      </c>
      <c r="K7" s="456">
        <v>157950</v>
      </c>
      <c r="L7" s="456">
        <v>2</v>
      </c>
      <c r="M7" s="456">
        <v>2</v>
      </c>
      <c r="N7" s="456">
        <v>157950</v>
      </c>
      <c r="O7" s="456">
        <v>0</v>
      </c>
      <c r="P7" s="456">
        <v>0</v>
      </c>
      <c r="Q7" s="456">
        <f t="shared" ref="Q7:Q20" si="0">K7-N7</f>
        <v>0</v>
      </c>
      <c r="R7" s="456">
        <v>2</v>
      </c>
      <c r="S7" s="456">
        <v>101832.52</v>
      </c>
      <c r="T7" s="456">
        <v>0</v>
      </c>
      <c r="U7" s="456">
        <v>0</v>
      </c>
      <c r="V7" s="12"/>
      <c r="W7" s="12"/>
    </row>
    <row r="8" spans="1:23" ht="18" customHeight="1" x14ac:dyDescent="0.2">
      <c r="A8" s="340" t="s">
        <v>540</v>
      </c>
      <c r="B8" s="452" t="s">
        <v>441</v>
      </c>
      <c r="C8" s="357">
        <v>40143</v>
      </c>
      <c r="D8" s="508">
        <v>85748.03</v>
      </c>
      <c r="E8" s="514">
        <v>44119</v>
      </c>
      <c r="F8" s="456">
        <v>2</v>
      </c>
      <c r="G8" s="456">
        <v>85748.03</v>
      </c>
      <c r="H8" s="456">
        <v>0</v>
      </c>
      <c r="I8" s="456">
        <v>0</v>
      </c>
      <c r="J8" s="456">
        <v>1</v>
      </c>
      <c r="K8" s="456">
        <v>35748.020000000004</v>
      </c>
      <c r="L8" s="456">
        <v>1</v>
      </c>
      <c r="M8" s="456">
        <v>1</v>
      </c>
      <c r="N8" s="456">
        <v>35748.020000000004</v>
      </c>
      <c r="O8" s="456">
        <v>1</v>
      </c>
      <c r="P8" s="456">
        <v>50000</v>
      </c>
      <c r="Q8" s="456">
        <f t="shared" si="0"/>
        <v>0</v>
      </c>
      <c r="R8" s="456">
        <v>1</v>
      </c>
      <c r="S8" s="456">
        <v>35645.83</v>
      </c>
      <c r="T8" s="456">
        <v>0</v>
      </c>
      <c r="U8" s="456">
        <v>0</v>
      </c>
      <c r="V8" s="12"/>
      <c r="W8" s="12"/>
    </row>
    <row r="9" spans="1:23" ht="33.75" x14ac:dyDescent="0.2">
      <c r="A9" s="340" t="s">
        <v>540</v>
      </c>
      <c r="B9" s="452" t="s">
        <v>269</v>
      </c>
      <c r="C9" s="357">
        <v>40083</v>
      </c>
      <c r="D9" s="508">
        <v>77677.02</v>
      </c>
      <c r="E9" s="514">
        <v>44119</v>
      </c>
      <c r="F9" s="456">
        <v>4</v>
      </c>
      <c r="G9" s="456">
        <v>150577.02000000002</v>
      </c>
      <c r="H9" s="456">
        <v>1</v>
      </c>
      <c r="I9" s="456">
        <v>61000</v>
      </c>
      <c r="J9" s="456">
        <v>1</v>
      </c>
      <c r="K9" s="456">
        <v>12346.92</v>
      </c>
      <c r="L9" s="456">
        <v>1</v>
      </c>
      <c r="M9" s="456">
        <v>1</v>
      </c>
      <c r="N9" s="456">
        <v>12346.92</v>
      </c>
      <c r="O9" s="456">
        <v>2</v>
      </c>
      <c r="P9" s="456">
        <v>72900</v>
      </c>
      <c r="Q9" s="456">
        <f t="shared" si="0"/>
        <v>0</v>
      </c>
      <c r="R9" s="456">
        <v>1</v>
      </c>
      <c r="S9" s="456">
        <v>12346.92</v>
      </c>
      <c r="T9" s="456">
        <v>1</v>
      </c>
      <c r="U9" s="456">
        <v>12346.92</v>
      </c>
      <c r="V9" s="12"/>
      <c r="W9" s="12"/>
    </row>
    <row r="10" spans="1:23" ht="24.6" customHeight="1" x14ac:dyDescent="0.2">
      <c r="A10" s="340" t="s">
        <v>541</v>
      </c>
      <c r="B10" s="452" t="s">
        <v>270</v>
      </c>
      <c r="C10" s="357">
        <v>39986</v>
      </c>
      <c r="D10" s="508">
        <v>177106.18</v>
      </c>
      <c r="E10" s="514">
        <v>44119</v>
      </c>
      <c r="F10" s="456">
        <v>4</v>
      </c>
      <c r="G10" s="456">
        <v>177147.99</v>
      </c>
      <c r="H10" s="456">
        <v>1</v>
      </c>
      <c r="I10" s="456">
        <v>62000</v>
      </c>
      <c r="J10" s="456">
        <v>3</v>
      </c>
      <c r="K10" s="456">
        <v>115106.18</v>
      </c>
      <c r="L10" s="456">
        <v>3</v>
      </c>
      <c r="M10" s="456">
        <v>3</v>
      </c>
      <c r="N10" s="456">
        <v>115106.18</v>
      </c>
      <c r="O10" s="456">
        <v>0</v>
      </c>
      <c r="P10" s="456">
        <v>0</v>
      </c>
      <c r="Q10" s="456">
        <f t="shared" si="0"/>
        <v>0</v>
      </c>
      <c r="R10" s="456">
        <v>8</v>
      </c>
      <c r="S10" s="456">
        <v>106042.82</v>
      </c>
      <c r="T10" s="456">
        <v>6</v>
      </c>
      <c r="U10" s="456">
        <v>85094.65</v>
      </c>
      <c r="V10" s="12"/>
      <c r="W10" s="12"/>
    </row>
    <row r="11" spans="1:23" ht="27" customHeight="1" x14ac:dyDescent="0.2">
      <c r="A11" s="340" t="s">
        <v>540</v>
      </c>
      <c r="B11" s="452" t="s">
        <v>271</v>
      </c>
      <c r="C11" s="357">
        <v>40301</v>
      </c>
      <c r="D11" s="508">
        <v>50900</v>
      </c>
      <c r="E11" s="514">
        <v>44119</v>
      </c>
      <c r="F11" s="456">
        <v>1</v>
      </c>
      <c r="G11" s="456">
        <v>50900</v>
      </c>
      <c r="H11" s="456">
        <v>0</v>
      </c>
      <c r="I11" s="456">
        <v>0</v>
      </c>
      <c r="J11" s="456">
        <v>1</v>
      </c>
      <c r="K11" s="456">
        <v>50900</v>
      </c>
      <c r="L11" s="456">
        <v>1</v>
      </c>
      <c r="M11" s="456">
        <v>1</v>
      </c>
      <c r="N11" s="456">
        <v>50900</v>
      </c>
      <c r="O11" s="456">
        <v>0</v>
      </c>
      <c r="P11" s="456">
        <v>0</v>
      </c>
      <c r="Q11" s="456">
        <f t="shared" si="0"/>
        <v>0</v>
      </c>
      <c r="R11" s="456">
        <v>1</v>
      </c>
      <c r="S11" s="456">
        <v>25450</v>
      </c>
      <c r="T11" s="456">
        <v>1</v>
      </c>
      <c r="U11" s="456">
        <v>25450</v>
      </c>
      <c r="V11" s="12"/>
      <c r="W11" s="12"/>
    </row>
    <row r="12" spans="1:23" ht="33.75" x14ac:dyDescent="0.2">
      <c r="A12" s="340" t="s">
        <v>242</v>
      </c>
      <c r="B12" s="452" t="s">
        <v>443</v>
      </c>
      <c r="C12" s="357">
        <v>42462</v>
      </c>
      <c r="D12" s="508">
        <v>210000</v>
      </c>
      <c r="E12" s="514">
        <v>44119</v>
      </c>
      <c r="F12" s="456">
        <v>5</v>
      </c>
      <c r="G12" s="456">
        <v>210000</v>
      </c>
      <c r="H12" s="456">
        <v>0</v>
      </c>
      <c r="I12" s="456">
        <v>0</v>
      </c>
      <c r="J12" s="456">
        <v>5</v>
      </c>
      <c r="K12" s="510">
        <v>210000</v>
      </c>
      <c r="L12" s="456">
        <v>5</v>
      </c>
      <c r="M12" s="456">
        <v>5</v>
      </c>
      <c r="N12" s="456">
        <v>210000</v>
      </c>
      <c r="O12" s="456">
        <v>0</v>
      </c>
      <c r="P12" s="456">
        <v>0</v>
      </c>
      <c r="Q12" s="456">
        <f t="shared" si="0"/>
        <v>0</v>
      </c>
      <c r="R12" s="456">
        <v>10</v>
      </c>
      <c r="S12" s="456">
        <v>210000</v>
      </c>
      <c r="T12" s="456">
        <v>10</v>
      </c>
      <c r="U12" s="456">
        <v>210000</v>
      </c>
      <c r="V12" s="12"/>
      <c r="W12" s="12"/>
    </row>
    <row r="13" spans="1:23" ht="33.75" x14ac:dyDescent="0.2">
      <c r="A13" s="340" t="s">
        <v>242</v>
      </c>
      <c r="B13" s="452" t="s">
        <v>272</v>
      </c>
      <c r="C13" s="357">
        <v>42243</v>
      </c>
      <c r="D13" s="508">
        <v>283500</v>
      </c>
      <c r="E13" s="514">
        <v>44119</v>
      </c>
      <c r="F13" s="456">
        <v>9</v>
      </c>
      <c r="G13" s="456">
        <v>365393.44</v>
      </c>
      <c r="H13" s="456">
        <v>0</v>
      </c>
      <c r="I13" s="456">
        <v>0</v>
      </c>
      <c r="J13" s="456">
        <v>7</v>
      </c>
      <c r="K13" s="510">
        <v>283500</v>
      </c>
      <c r="L13" s="456">
        <v>7</v>
      </c>
      <c r="M13" s="456">
        <v>7</v>
      </c>
      <c r="N13" s="456">
        <v>283500</v>
      </c>
      <c r="O13" s="456">
        <v>2</v>
      </c>
      <c r="P13" s="456">
        <v>81000</v>
      </c>
      <c r="Q13" s="456">
        <f t="shared" si="0"/>
        <v>0</v>
      </c>
      <c r="R13" s="456">
        <v>12</v>
      </c>
      <c r="S13" s="456">
        <v>271350</v>
      </c>
      <c r="T13" s="456">
        <v>10</v>
      </c>
      <c r="U13" s="456">
        <v>218700</v>
      </c>
      <c r="V13" s="12"/>
      <c r="W13" s="12"/>
    </row>
    <row r="14" spans="1:23" ht="22.5" x14ac:dyDescent="0.2">
      <c r="A14" s="340" t="s">
        <v>273</v>
      </c>
      <c r="B14" s="452" t="s">
        <v>274</v>
      </c>
      <c r="C14" s="357">
        <v>42281</v>
      </c>
      <c r="D14" s="508">
        <v>207013.07</v>
      </c>
      <c r="E14" s="514">
        <v>44119</v>
      </c>
      <c r="F14" s="456">
        <v>3</v>
      </c>
      <c r="G14" s="456">
        <v>238154.66</v>
      </c>
      <c r="H14" s="456">
        <v>0</v>
      </c>
      <c r="I14" s="456">
        <v>0</v>
      </c>
      <c r="J14" s="456">
        <v>2</v>
      </c>
      <c r="K14" s="456">
        <v>204363.06</v>
      </c>
      <c r="L14" s="456">
        <v>2</v>
      </c>
      <c r="M14" s="456">
        <v>2</v>
      </c>
      <c r="N14" s="456">
        <v>204363.06</v>
      </c>
      <c r="O14" s="456">
        <v>1</v>
      </c>
      <c r="P14" s="456">
        <v>31141.599999999999</v>
      </c>
      <c r="Q14" s="456">
        <f t="shared" si="0"/>
        <v>0</v>
      </c>
      <c r="R14" s="456">
        <v>2</v>
      </c>
      <c r="S14" s="456">
        <v>202059.68</v>
      </c>
      <c r="T14" s="456">
        <v>0</v>
      </c>
      <c r="U14" s="456">
        <v>0</v>
      </c>
      <c r="V14" s="12"/>
      <c r="W14" s="12"/>
    </row>
    <row r="15" spans="1:23" ht="37.9" customHeight="1" x14ac:dyDescent="0.2">
      <c r="A15" s="340" t="s">
        <v>275</v>
      </c>
      <c r="B15" s="452" t="s">
        <v>285</v>
      </c>
      <c r="C15" s="357">
        <v>44826</v>
      </c>
      <c r="D15" s="508">
        <v>327944.75</v>
      </c>
      <c r="E15" s="514">
        <v>44119</v>
      </c>
      <c r="F15" s="456">
        <v>15</v>
      </c>
      <c r="G15" s="456">
        <v>542144.80000000005</v>
      </c>
      <c r="H15" s="456">
        <v>2</v>
      </c>
      <c r="I15" s="456">
        <v>53440.06</v>
      </c>
      <c r="J15" s="456">
        <v>7</v>
      </c>
      <c r="K15" s="456">
        <v>240913.22000000006</v>
      </c>
      <c r="L15" s="456">
        <v>7</v>
      </c>
      <c r="M15" s="456">
        <v>7</v>
      </c>
      <c r="N15" s="456">
        <v>240913.22000000006</v>
      </c>
      <c r="O15" s="456">
        <v>6</v>
      </c>
      <c r="P15" s="456">
        <f>178628+33591.47</f>
        <v>212219.47</v>
      </c>
      <c r="Q15" s="456">
        <f>K15-N15</f>
        <v>0</v>
      </c>
      <c r="R15" s="456">
        <v>11</v>
      </c>
      <c r="S15" s="456">
        <v>215498.43</v>
      </c>
      <c r="T15" s="456">
        <v>9</v>
      </c>
      <c r="U15" s="456">
        <v>198246.68</v>
      </c>
      <c r="V15" s="158"/>
      <c r="W15" s="12"/>
    </row>
    <row r="16" spans="1:23" ht="22.5" x14ac:dyDescent="0.2">
      <c r="A16" s="340" t="s">
        <v>273</v>
      </c>
      <c r="B16" s="452" t="s">
        <v>429</v>
      </c>
      <c r="C16" s="357">
        <v>65881</v>
      </c>
      <c r="D16" s="508">
        <v>1899874</v>
      </c>
      <c r="E16" s="514">
        <v>44816</v>
      </c>
      <c r="F16" s="456">
        <v>20</v>
      </c>
      <c r="G16" s="456">
        <v>1955726.13</v>
      </c>
      <c r="H16" s="456">
        <v>0</v>
      </c>
      <c r="I16" s="456">
        <v>0</v>
      </c>
      <c r="J16" s="456">
        <v>19</v>
      </c>
      <c r="K16" s="456">
        <v>1774487.94</v>
      </c>
      <c r="L16" s="456">
        <v>19</v>
      </c>
      <c r="M16" s="456">
        <v>19</v>
      </c>
      <c r="N16" s="456">
        <v>1774487.94</v>
      </c>
      <c r="O16" s="456">
        <v>1</v>
      </c>
      <c r="P16" s="456">
        <v>50000</v>
      </c>
      <c r="Q16" s="456">
        <f t="shared" si="0"/>
        <v>0</v>
      </c>
      <c r="R16" s="456">
        <v>14</v>
      </c>
      <c r="S16" s="456">
        <v>1176975.1499999999</v>
      </c>
      <c r="T16" s="456">
        <v>1</v>
      </c>
      <c r="U16" s="456">
        <v>97749.04</v>
      </c>
      <c r="V16" s="12"/>
      <c r="W16" s="12"/>
    </row>
    <row r="17" spans="1:26" ht="26.45" customHeight="1" x14ac:dyDescent="0.2">
      <c r="A17" s="357" t="s">
        <v>242</v>
      </c>
      <c r="B17" s="464" t="s">
        <v>548</v>
      </c>
      <c r="C17" s="465">
        <v>70421</v>
      </c>
      <c r="D17" s="508">
        <v>60000</v>
      </c>
      <c r="E17" s="453">
        <v>45036</v>
      </c>
      <c r="F17" s="456">
        <v>1</v>
      </c>
      <c r="G17" s="456">
        <v>30000</v>
      </c>
      <c r="H17" s="456">
        <v>0</v>
      </c>
      <c r="I17" s="456">
        <v>0</v>
      </c>
      <c r="J17" s="456">
        <v>1</v>
      </c>
      <c r="K17" s="456">
        <v>30000</v>
      </c>
      <c r="L17" s="456">
        <v>1</v>
      </c>
      <c r="M17" s="456">
        <v>1</v>
      </c>
      <c r="N17" s="456">
        <v>30000</v>
      </c>
      <c r="O17" s="456">
        <v>0</v>
      </c>
      <c r="P17" s="456">
        <v>0</v>
      </c>
      <c r="Q17" s="456">
        <f t="shared" si="0"/>
        <v>0</v>
      </c>
      <c r="R17" s="456">
        <v>2</v>
      </c>
      <c r="S17" s="456">
        <v>30000</v>
      </c>
      <c r="T17" s="456">
        <v>1</v>
      </c>
      <c r="U17" s="456">
        <v>21000</v>
      </c>
      <c r="V17" s="12"/>
      <c r="W17" s="12"/>
    </row>
    <row r="18" spans="1:26" ht="23.45" customHeight="1" x14ac:dyDescent="0.2">
      <c r="A18" s="357" t="s">
        <v>242</v>
      </c>
      <c r="B18" s="464" t="s">
        <v>549</v>
      </c>
      <c r="C18" s="465">
        <v>70401</v>
      </c>
      <c r="D18" s="508">
        <v>120000</v>
      </c>
      <c r="E18" s="453">
        <v>45036</v>
      </c>
      <c r="F18" s="456">
        <v>4</v>
      </c>
      <c r="G18" s="456">
        <v>120000</v>
      </c>
      <c r="H18" s="456">
        <v>0</v>
      </c>
      <c r="I18" s="456">
        <v>0</v>
      </c>
      <c r="J18" s="456">
        <v>4</v>
      </c>
      <c r="K18" s="456">
        <v>120000</v>
      </c>
      <c r="L18" s="456">
        <v>4</v>
      </c>
      <c r="M18" s="456">
        <v>4</v>
      </c>
      <c r="N18" s="456">
        <v>120000</v>
      </c>
      <c r="O18" s="456">
        <v>0</v>
      </c>
      <c r="P18" s="456">
        <v>0</v>
      </c>
      <c r="Q18" s="456">
        <f t="shared" si="0"/>
        <v>0</v>
      </c>
      <c r="R18" s="456">
        <v>7</v>
      </c>
      <c r="S18" s="456">
        <v>111000</v>
      </c>
      <c r="T18" s="456">
        <v>3</v>
      </c>
      <c r="U18" s="456">
        <v>63000</v>
      </c>
      <c r="V18" s="12"/>
      <c r="W18" s="12"/>
    </row>
    <row r="19" spans="1:26" ht="17.45" customHeight="1" x14ac:dyDescent="0.2">
      <c r="A19" s="357" t="s">
        <v>540</v>
      </c>
      <c r="B19" s="464" t="s">
        <v>441</v>
      </c>
      <c r="C19" s="465">
        <v>72182</v>
      </c>
      <c r="D19" s="508">
        <v>120000</v>
      </c>
      <c r="E19" s="453">
        <v>45189</v>
      </c>
      <c r="F19" s="456">
        <v>2</v>
      </c>
      <c r="G19" s="456">
        <v>65000</v>
      </c>
      <c r="H19" s="456">
        <v>0</v>
      </c>
      <c r="I19" s="456">
        <v>0</v>
      </c>
      <c r="J19" s="456">
        <v>2</v>
      </c>
      <c r="K19" s="456">
        <v>63843</v>
      </c>
      <c r="L19" s="456">
        <v>2</v>
      </c>
      <c r="M19" s="456">
        <v>2</v>
      </c>
      <c r="N19" s="456">
        <v>63843</v>
      </c>
      <c r="O19" s="456">
        <v>0</v>
      </c>
      <c r="P19" s="456">
        <v>0</v>
      </c>
      <c r="Q19" s="456">
        <f t="shared" si="0"/>
        <v>0</v>
      </c>
      <c r="R19" s="456">
        <v>0</v>
      </c>
      <c r="S19" s="456">
        <v>0</v>
      </c>
      <c r="T19" s="456">
        <v>0</v>
      </c>
      <c r="U19" s="456">
        <v>0</v>
      </c>
      <c r="V19" s="12"/>
      <c r="W19" s="12"/>
    </row>
    <row r="20" spans="1:26" ht="22.15" customHeight="1" x14ac:dyDescent="0.2">
      <c r="A20" s="357" t="s">
        <v>541</v>
      </c>
      <c r="B20" s="464" t="s">
        <v>270</v>
      </c>
      <c r="C20" s="465">
        <v>74781</v>
      </c>
      <c r="D20" s="508">
        <v>120000</v>
      </c>
      <c r="E20" s="471">
        <v>45209</v>
      </c>
      <c r="F20" s="456">
        <v>3</v>
      </c>
      <c r="G20" s="456">
        <v>150000</v>
      </c>
      <c r="H20" s="456">
        <v>0</v>
      </c>
      <c r="I20" s="456">
        <v>0</v>
      </c>
      <c r="J20" s="456">
        <v>2</v>
      </c>
      <c r="K20" s="456">
        <v>98620</v>
      </c>
      <c r="L20" s="456">
        <v>2</v>
      </c>
      <c r="M20" s="456">
        <v>2</v>
      </c>
      <c r="N20" s="456">
        <v>98620</v>
      </c>
      <c r="O20" s="456">
        <v>1</v>
      </c>
      <c r="P20" s="456">
        <v>50000</v>
      </c>
      <c r="Q20" s="456">
        <f t="shared" si="0"/>
        <v>0</v>
      </c>
      <c r="R20" s="456">
        <v>1</v>
      </c>
      <c r="S20" s="456">
        <v>48620</v>
      </c>
      <c r="T20" s="456">
        <v>0</v>
      </c>
      <c r="U20" s="456">
        <v>0</v>
      </c>
      <c r="V20" s="12"/>
      <c r="W20" s="12"/>
    </row>
    <row r="21" spans="1:26" ht="26.45" customHeight="1" x14ac:dyDescent="0.2">
      <c r="A21" s="357" t="s">
        <v>540</v>
      </c>
      <c r="B21" s="464" t="s">
        <v>269</v>
      </c>
      <c r="C21" s="465">
        <v>75282</v>
      </c>
      <c r="D21" s="511">
        <v>120000</v>
      </c>
      <c r="E21" s="453">
        <v>45209</v>
      </c>
      <c r="F21" s="456">
        <v>3</v>
      </c>
      <c r="G21" s="456">
        <v>83740.7</v>
      </c>
      <c r="H21" s="456">
        <v>0</v>
      </c>
      <c r="I21" s="456">
        <v>0</v>
      </c>
      <c r="J21" s="456">
        <v>3</v>
      </c>
      <c r="K21" s="456">
        <v>82408.2</v>
      </c>
      <c r="L21" s="456">
        <v>3</v>
      </c>
      <c r="M21" s="456">
        <v>3</v>
      </c>
      <c r="N21" s="456">
        <v>82408.2</v>
      </c>
      <c r="O21" s="456">
        <v>0</v>
      </c>
      <c r="P21" s="456">
        <v>0</v>
      </c>
      <c r="Q21" s="456">
        <f>K21-N21</f>
        <v>0</v>
      </c>
      <c r="R21" s="456">
        <v>2</v>
      </c>
      <c r="S21" s="456">
        <v>53367.5</v>
      </c>
      <c r="T21" s="456">
        <v>1</v>
      </c>
      <c r="U21" s="456">
        <v>29480</v>
      </c>
      <c r="V21" s="158"/>
      <c r="W21" s="12"/>
    </row>
    <row r="22" spans="1:26" s="96" customFormat="1" ht="15" customHeight="1" x14ac:dyDescent="0.2">
      <c r="A22" s="271" t="s">
        <v>273</v>
      </c>
      <c r="B22" s="246" t="s">
        <v>274</v>
      </c>
      <c r="C22" s="152">
        <v>78309</v>
      </c>
      <c r="D22" s="535">
        <v>1208873.4099999999</v>
      </c>
      <c r="E22" s="187">
        <v>45429</v>
      </c>
      <c r="F22" s="366">
        <v>20</v>
      </c>
      <c r="G22" s="366">
        <v>1463641.36</v>
      </c>
      <c r="H22" s="366">
        <v>0</v>
      </c>
      <c r="I22" s="366">
        <v>0</v>
      </c>
      <c r="J22" s="366">
        <v>20</v>
      </c>
      <c r="K22" s="366">
        <v>1448641.32</v>
      </c>
      <c r="L22" s="366">
        <v>19</v>
      </c>
      <c r="M22" s="366">
        <v>19</v>
      </c>
      <c r="N22" s="366">
        <v>1368765.2899999998</v>
      </c>
      <c r="O22" s="366">
        <v>0</v>
      </c>
      <c r="P22" s="366">
        <v>0</v>
      </c>
      <c r="Q22" s="366">
        <f t="shared" ref="Q22" si="1">K22-N22</f>
        <v>79876.030000000261</v>
      </c>
      <c r="R22" s="366">
        <v>4</v>
      </c>
      <c r="S22" s="366">
        <v>337126.75</v>
      </c>
      <c r="T22" s="366">
        <v>0</v>
      </c>
      <c r="U22" s="366">
        <v>0</v>
      </c>
      <c r="V22" s="339"/>
    </row>
    <row r="23" spans="1:26" x14ac:dyDescent="0.2">
      <c r="A23" s="19" t="s">
        <v>1</v>
      </c>
      <c r="B23" s="19"/>
      <c r="C23" s="60"/>
      <c r="D23" s="20">
        <f>SUM(D6:D22)</f>
        <v>5474967.5800000001</v>
      </c>
      <c r="E23" s="20"/>
      <c r="F23" s="20">
        <f t="shared" ref="F23:S23" si="2">SUM(F6:F22)</f>
        <v>100</v>
      </c>
      <c r="G23" s="20">
        <f t="shared" si="2"/>
        <v>6004074.1300000008</v>
      </c>
      <c r="H23" s="20">
        <f t="shared" si="2"/>
        <v>4</v>
      </c>
      <c r="I23" s="20">
        <f t="shared" si="2"/>
        <v>176440.06</v>
      </c>
      <c r="J23" s="20">
        <f t="shared" si="2"/>
        <v>81</v>
      </c>
      <c r="K23" s="20">
        <f t="shared" si="2"/>
        <v>5009827.8600000003</v>
      </c>
      <c r="L23" s="20">
        <f t="shared" si="2"/>
        <v>80</v>
      </c>
      <c r="M23" s="20">
        <f t="shared" si="2"/>
        <v>80</v>
      </c>
      <c r="N23" s="20">
        <f t="shared" si="2"/>
        <v>4929951.83</v>
      </c>
      <c r="O23" s="20">
        <f t="shared" si="2"/>
        <v>15</v>
      </c>
      <c r="P23" s="20">
        <f t="shared" si="2"/>
        <v>624211.06999999995</v>
      </c>
      <c r="Q23" s="20">
        <f t="shared" si="2"/>
        <v>79876.030000000261</v>
      </c>
      <c r="R23" s="20">
        <f t="shared" si="2"/>
        <v>78</v>
      </c>
      <c r="S23" s="20">
        <f t="shared" si="2"/>
        <v>2937315.5999999996</v>
      </c>
      <c r="T23" s="530">
        <f>SUM(T6:T22)</f>
        <v>43</v>
      </c>
      <c r="U23" s="530">
        <f>SUM(U6:U22)</f>
        <v>961067.29</v>
      </c>
      <c r="Z23" s="96"/>
    </row>
    <row r="24" spans="1:26" customFormat="1" ht="11.45" customHeight="1" x14ac:dyDescent="0.25">
      <c r="A24" s="219" t="s">
        <v>390</v>
      </c>
      <c r="B24" s="140"/>
      <c r="C24" s="140"/>
      <c r="D24" s="140"/>
      <c r="E24" s="140"/>
      <c r="F24" s="140"/>
      <c r="G24" s="140"/>
      <c r="H24" s="140"/>
      <c r="I24" s="140"/>
      <c r="J24" s="140"/>
      <c r="K24" s="140"/>
      <c r="L24" s="140"/>
      <c r="M24" s="140"/>
      <c r="N24" s="140"/>
      <c r="O24" s="140"/>
      <c r="P24" s="140"/>
      <c r="Q24" s="140"/>
      <c r="R24" s="140"/>
      <c r="Z24" s="96"/>
    </row>
    <row r="25" spans="1:26" s="23" customFormat="1" ht="24.6" customHeight="1" x14ac:dyDescent="0.25">
      <c r="A25" s="1148" t="s">
        <v>732</v>
      </c>
      <c r="B25" s="1148"/>
      <c r="C25" s="1148"/>
      <c r="D25" s="1148"/>
      <c r="E25" s="1148"/>
      <c r="F25" s="1148"/>
      <c r="G25" s="1148"/>
      <c r="H25" s="1148"/>
      <c r="I25" s="1148"/>
      <c r="J25" s="1148"/>
      <c r="K25" s="1148"/>
      <c r="L25" s="1148"/>
      <c r="M25" s="1148"/>
      <c r="N25" s="1148"/>
      <c r="O25" s="1148"/>
      <c r="P25" s="1148"/>
      <c r="Q25" s="1148"/>
      <c r="R25" s="1148"/>
      <c r="S25" s="1148"/>
      <c r="T25" s="1148"/>
      <c r="U25" s="1148"/>
      <c r="V25" s="90"/>
      <c r="X25" s="90"/>
    </row>
    <row r="26" spans="1:26" ht="19.149999999999999" customHeight="1" x14ac:dyDescent="0.2">
      <c r="A26" s="1149" t="s">
        <v>656</v>
      </c>
      <c r="B26" s="1149"/>
      <c r="C26" s="1150"/>
      <c r="D26" s="1149"/>
      <c r="E26" s="1149"/>
      <c r="F26" s="1149"/>
      <c r="G26" s="1149"/>
      <c r="H26" s="1150"/>
      <c r="I26" s="1150"/>
      <c r="J26" s="1149"/>
      <c r="K26" s="1149"/>
      <c r="L26" s="1149"/>
      <c r="M26" s="1149"/>
      <c r="N26" s="1149"/>
      <c r="O26" s="1149"/>
      <c r="P26" s="1149"/>
      <c r="Q26" s="1149"/>
      <c r="R26" s="1149"/>
      <c r="S26" s="1149"/>
      <c r="T26" s="1149"/>
      <c r="U26" s="1149"/>
      <c r="W26" s="12"/>
    </row>
    <row r="27" spans="1:26" ht="20.25" customHeight="1" x14ac:dyDescent="0.2">
      <c r="A27" s="966" t="s">
        <v>248</v>
      </c>
      <c r="B27" s="966" t="s">
        <v>156</v>
      </c>
      <c r="C27" s="966" t="s">
        <v>282</v>
      </c>
      <c r="D27" s="966" t="s">
        <v>157</v>
      </c>
      <c r="E27" s="966" t="s">
        <v>158</v>
      </c>
      <c r="F27" s="997" t="s">
        <v>337</v>
      </c>
      <c r="G27" s="998"/>
      <c r="H27" s="997" t="s">
        <v>277</v>
      </c>
      <c r="I27" s="998"/>
      <c r="J27" s="997" t="s">
        <v>159</v>
      </c>
      <c r="K27" s="998"/>
      <c r="L27" s="976" t="s">
        <v>717</v>
      </c>
      <c r="M27" s="977"/>
      <c r="N27" s="977"/>
      <c r="O27" s="977"/>
      <c r="P27" s="978"/>
      <c r="Q27" s="966" t="s">
        <v>250</v>
      </c>
      <c r="R27" s="969" t="s">
        <v>718</v>
      </c>
      <c r="S27" s="970"/>
      <c r="T27" s="969" t="s">
        <v>719</v>
      </c>
      <c r="U27" s="970"/>
    </row>
    <row r="28" spans="1:26" ht="10.15" customHeight="1" x14ac:dyDescent="0.2">
      <c r="A28" s="967"/>
      <c r="B28" s="967"/>
      <c r="C28" s="967"/>
      <c r="D28" s="967"/>
      <c r="E28" s="967"/>
      <c r="F28" s="971"/>
      <c r="G28" s="972"/>
      <c r="H28" s="971"/>
      <c r="I28" s="972"/>
      <c r="J28" s="971"/>
      <c r="K28" s="972"/>
      <c r="L28" s="1143" t="s">
        <v>160</v>
      </c>
      <c r="M28" s="977"/>
      <c r="N28" s="978"/>
      <c r="O28" s="997" t="s">
        <v>631</v>
      </c>
      <c r="P28" s="998"/>
      <c r="Q28" s="967"/>
      <c r="R28" s="971"/>
      <c r="S28" s="972"/>
      <c r="T28" s="971"/>
      <c r="U28" s="972"/>
    </row>
    <row r="29" spans="1:26" ht="21" customHeight="1" x14ac:dyDescent="0.2">
      <c r="A29" s="967"/>
      <c r="B29" s="967"/>
      <c r="C29" s="967"/>
      <c r="D29" s="967"/>
      <c r="E29" s="967"/>
      <c r="F29" s="973"/>
      <c r="G29" s="974"/>
      <c r="H29" s="973"/>
      <c r="I29" s="974"/>
      <c r="J29" s="973"/>
      <c r="K29" s="974"/>
      <c r="L29" s="979" t="s">
        <v>161</v>
      </c>
      <c r="M29" s="1143" t="s">
        <v>247</v>
      </c>
      <c r="N29" s="978"/>
      <c r="O29" s="973"/>
      <c r="P29" s="974"/>
      <c r="Q29" s="975"/>
      <c r="R29" s="973"/>
      <c r="S29" s="974"/>
      <c r="T29" s="973"/>
      <c r="U29" s="974"/>
    </row>
    <row r="30" spans="1:26" ht="21.75" x14ac:dyDescent="0.2">
      <c r="A30" s="975"/>
      <c r="B30" s="975"/>
      <c r="C30" s="975"/>
      <c r="D30" s="975"/>
      <c r="E30" s="975"/>
      <c r="F30" s="127" t="s">
        <v>161</v>
      </c>
      <c r="G30" s="128" t="s">
        <v>162</v>
      </c>
      <c r="H30" s="15" t="s">
        <v>161</v>
      </c>
      <c r="I30" s="16" t="s">
        <v>162</v>
      </c>
      <c r="J30" s="127" t="s">
        <v>161</v>
      </c>
      <c r="K30" s="128" t="s">
        <v>162</v>
      </c>
      <c r="L30" s="1142"/>
      <c r="M30" s="160" t="s">
        <v>161</v>
      </c>
      <c r="N30" s="130" t="s">
        <v>162</v>
      </c>
      <c r="O30" s="160" t="s">
        <v>161</v>
      </c>
      <c r="P30" s="130" t="s">
        <v>162</v>
      </c>
      <c r="Q30" s="16" t="s">
        <v>162</v>
      </c>
      <c r="R30" s="15" t="s">
        <v>161</v>
      </c>
      <c r="S30" s="16" t="s">
        <v>162</v>
      </c>
      <c r="T30" s="78" t="s">
        <v>161</v>
      </c>
      <c r="U30" s="79" t="s">
        <v>162</v>
      </c>
    </row>
    <row r="31" spans="1:26" s="488" customFormat="1" ht="22.5" x14ac:dyDescent="0.2">
      <c r="A31" s="340" t="s">
        <v>245</v>
      </c>
      <c r="B31" s="461" t="s">
        <v>334</v>
      </c>
      <c r="C31" s="487">
        <v>23882</v>
      </c>
      <c r="D31" s="468">
        <v>255604.41</v>
      </c>
      <c r="E31" s="500">
        <v>43570</v>
      </c>
      <c r="F31" s="456">
        <v>8</v>
      </c>
      <c r="G31" s="456">
        <v>359999.99</v>
      </c>
      <c r="H31" s="456">
        <v>1</v>
      </c>
      <c r="I31" s="456">
        <v>45000</v>
      </c>
      <c r="J31" s="456">
        <v>6</v>
      </c>
      <c r="K31" s="456">
        <v>255604.41</v>
      </c>
      <c r="L31" s="456">
        <v>6</v>
      </c>
      <c r="M31" s="456">
        <v>6</v>
      </c>
      <c r="N31" s="456">
        <f>300126.87-P31</f>
        <v>255604.41</v>
      </c>
      <c r="O31" s="456">
        <v>1</v>
      </c>
      <c r="P31" s="456">
        <v>44522.46</v>
      </c>
      <c r="Q31" s="456">
        <f t="shared" ref="Q31:Q39" si="3">K31-N31</f>
        <v>0</v>
      </c>
      <c r="R31" s="456">
        <v>6</v>
      </c>
      <c r="S31" s="456">
        <v>249268.83000000002</v>
      </c>
      <c r="T31" s="456">
        <v>6</v>
      </c>
      <c r="U31" s="456">
        <v>244805.96000000002</v>
      </c>
      <c r="W31" s="501"/>
    </row>
    <row r="32" spans="1:26" s="488" customFormat="1" ht="22.5" x14ac:dyDescent="0.2">
      <c r="A32" s="340" t="s">
        <v>245</v>
      </c>
      <c r="B32" s="461" t="s">
        <v>263</v>
      </c>
      <c r="C32" s="487">
        <v>30923</v>
      </c>
      <c r="D32" s="468">
        <v>1375028.9400000002</v>
      </c>
      <c r="E32" s="500">
        <v>43728.999988425923</v>
      </c>
      <c r="F32" s="456">
        <v>7</v>
      </c>
      <c r="G32" s="456">
        <v>1398738.28</v>
      </c>
      <c r="H32" s="456">
        <v>0</v>
      </c>
      <c r="I32" s="456">
        <v>0</v>
      </c>
      <c r="J32" s="456">
        <v>7</v>
      </c>
      <c r="K32" s="456">
        <v>1375028.9400000002</v>
      </c>
      <c r="L32" s="456">
        <v>7</v>
      </c>
      <c r="M32" s="456">
        <v>7</v>
      </c>
      <c r="N32" s="456">
        <v>1375028.9400000002</v>
      </c>
      <c r="O32" s="456">
        <v>0</v>
      </c>
      <c r="P32" s="456">
        <v>0</v>
      </c>
      <c r="Q32" s="456">
        <f t="shared" si="3"/>
        <v>0</v>
      </c>
      <c r="R32" s="456">
        <v>5</v>
      </c>
      <c r="S32" s="456">
        <v>941629.37000000011</v>
      </c>
      <c r="T32" s="456">
        <v>5</v>
      </c>
      <c r="U32" s="456">
        <v>927286.29</v>
      </c>
    </row>
    <row r="33" spans="1:27" s="488" customFormat="1" ht="22.5" x14ac:dyDescent="0.2">
      <c r="A33" s="143" t="s">
        <v>540</v>
      </c>
      <c r="B33" s="461" t="s">
        <v>263</v>
      </c>
      <c r="C33" s="487">
        <v>34923</v>
      </c>
      <c r="D33" s="468">
        <v>668435.93999999994</v>
      </c>
      <c r="E33" s="500">
        <v>43784.999988425923</v>
      </c>
      <c r="F33" s="456">
        <v>8</v>
      </c>
      <c r="G33" s="456">
        <v>992700.27</v>
      </c>
      <c r="H33" s="456">
        <v>0</v>
      </c>
      <c r="I33" s="456">
        <v>0</v>
      </c>
      <c r="J33" s="456">
        <v>4</v>
      </c>
      <c r="K33" s="466">
        <v>703368.96</v>
      </c>
      <c r="L33" s="456">
        <v>4</v>
      </c>
      <c r="M33" s="456">
        <v>4</v>
      </c>
      <c r="N33" s="466">
        <v>703368.96</v>
      </c>
      <c r="O33" s="456">
        <v>3</v>
      </c>
      <c r="P33" s="456">
        <v>238881.82</v>
      </c>
      <c r="Q33" s="456">
        <f>K33-N33</f>
        <v>0</v>
      </c>
      <c r="R33" s="456">
        <v>5</v>
      </c>
      <c r="S33" s="456">
        <v>412964.7</v>
      </c>
      <c r="T33" s="456">
        <v>5</v>
      </c>
      <c r="U33" s="456">
        <v>412935.94</v>
      </c>
      <c r="V33" s="502"/>
    </row>
    <row r="34" spans="1:27" s="488" customFormat="1" ht="19.149999999999999" customHeight="1" x14ac:dyDescent="0.2">
      <c r="A34" s="143" t="s">
        <v>540</v>
      </c>
      <c r="B34" s="461" t="s">
        <v>320</v>
      </c>
      <c r="C34" s="487">
        <v>49261</v>
      </c>
      <c r="D34" s="468">
        <v>0</v>
      </c>
      <c r="E34" s="463">
        <v>44286</v>
      </c>
      <c r="F34" s="456">
        <v>0</v>
      </c>
      <c r="G34" s="456">
        <v>0</v>
      </c>
      <c r="H34" s="456">
        <v>0</v>
      </c>
      <c r="I34" s="456">
        <v>0</v>
      </c>
      <c r="J34" s="456">
        <v>0</v>
      </c>
      <c r="K34" s="456">
        <v>0</v>
      </c>
      <c r="L34" s="456">
        <v>0</v>
      </c>
      <c r="M34" s="456">
        <v>0</v>
      </c>
      <c r="N34" s="456">
        <v>0</v>
      </c>
      <c r="O34" s="456">
        <v>0</v>
      </c>
      <c r="P34" s="456">
        <v>0</v>
      </c>
      <c r="Q34" s="456">
        <f t="shared" si="3"/>
        <v>0</v>
      </c>
      <c r="R34" s="456">
        <v>0</v>
      </c>
      <c r="S34" s="456">
        <v>0</v>
      </c>
      <c r="T34" s="456">
        <v>0</v>
      </c>
      <c r="U34" s="456">
        <v>0</v>
      </c>
      <c r="Z34" s="503"/>
      <c r="AA34" s="504"/>
    </row>
    <row r="35" spans="1:27" s="488" customFormat="1" ht="33.75" x14ac:dyDescent="0.2">
      <c r="A35" s="143" t="s">
        <v>540</v>
      </c>
      <c r="B35" s="461" t="s">
        <v>321</v>
      </c>
      <c r="C35" s="487">
        <v>49283</v>
      </c>
      <c r="D35" s="468">
        <v>391317.74</v>
      </c>
      <c r="E35" s="463">
        <v>44286</v>
      </c>
      <c r="F35" s="456">
        <v>13</v>
      </c>
      <c r="G35" s="456">
        <v>563892.81000000006</v>
      </c>
      <c r="H35" s="456">
        <v>0</v>
      </c>
      <c r="I35" s="456">
        <v>0</v>
      </c>
      <c r="J35" s="456">
        <v>9</v>
      </c>
      <c r="K35" s="466">
        <v>391006.57</v>
      </c>
      <c r="L35" s="456">
        <v>9</v>
      </c>
      <c r="M35" s="456">
        <v>9</v>
      </c>
      <c r="N35" s="466">
        <v>391006.57</v>
      </c>
      <c r="O35" s="456">
        <v>1</v>
      </c>
      <c r="P35" s="456">
        <v>22458.06</v>
      </c>
      <c r="Q35" s="456">
        <f t="shared" si="3"/>
        <v>0</v>
      </c>
      <c r="R35" s="456">
        <v>11</v>
      </c>
      <c r="S35" s="456">
        <v>306943.96000000002</v>
      </c>
      <c r="T35" s="456">
        <v>11</v>
      </c>
      <c r="U35" s="456">
        <v>306391.64999999997</v>
      </c>
      <c r="W35" s="505"/>
      <c r="X35" s="506"/>
      <c r="Y35" s="507"/>
      <c r="Z35" s="503"/>
      <c r="AA35" s="504"/>
    </row>
    <row r="36" spans="1:27" s="488" customFormat="1" ht="45" x14ac:dyDescent="0.2">
      <c r="A36" s="143" t="s">
        <v>540</v>
      </c>
      <c r="B36" s="461" t="s">
        <v>322</v>
      </c>
      <c r="C36" s="487">
        <v>49262</v>
      </c>
      <c r="D36" s="468">
        <v>18553.46</v>
      </c>
      <c r="E36" s="463">
        <v>44286</v>
      </c>
      <c r="F36" s="456">
        <v>1</v>
      </c>
      <c r="G36" s="456">
        <v>19792.5</v>
      </c>
      <c r="H36" s="456">
        <v>0</v>
      </c>
      <c r="I36" s="456">
        <v>0</v>
      </c>
      <c r="J36" s="456">
        <v>1</v>
      </c>
      <c r="K36" s="456">
        <v>18553.46</v>
      </c>
      <c r="L36" s="456">
        <v>1</v>
      </c>
      <c r="M36" s="456">
        <v>1</v>
      </c>
      <c r="N36" s="456">
        <v>18553.46</v>
      </c>
      <c r="O36" s="456">
        <v>0</v>
      </c>
      <c r="P36" s="456">
        <v>0</v>
      </c>
      <c r="Q36" s="456">
        <f t="shared" si="3"/>
        <v>0</v>
      </c>
      <c r="R36" s="456">
        <v>1</v>
      </c>
      <c r="S36" s="456">
        <v>18553.46</v>
      </c>
      <c r="T36" s="456">
        <v>1</v>
      </c>
      <c r="U36" s="456">
        <v>18553.46</v>
      </c>
      <c r="W36" s="505"/>
      <c r="X36" s="506"/>
      <c r="Y36" s="507"/>
      <c r="Z36" s="503"/>
      <c r="AA36" s="504"/>
    </row>
    <row r="37" spans="1:27" s="488" customFormat="1" ht="34.9" customHeight="1" x14ac:dyDescent="0.2">
      <c r="A37" s="143" t="s">
        <v>365</v>
      </c>
      <c r="B37" s="461" t="s">
        <v>423</v>
      </c>
      <c r="C37" s="487">
        <v>62762</v>
      </c>
      <c r="D37" s="468">
        <v>102242.82</v>
      </c>
      <c r="E37" s="463">
        <v>44635</v>
      </c>
      <c r="F37" s="456">
        <v>1</v>
      </c>
      <c r="G37" s="456">
        <v>102242.82</v>
      </c>
      <c r="H37" s="456">
        <v>0</v>
      </c>
      <c r="I37" s="456">
        <v>0</v>
      </c>
      <c r="J37" s="456">
        <v>1</v>
      </c>
      <c r="K37" s="456">
        <v>102242.82</v>
      </c>
      <c r="L37" s="456">
        <v>1</v>
      </c>
      <c r="M37" s="456">
        <v>1</v>
      </c>
      <c r="N37" s="456">
        <v>102242.82</v>
      </c>
      <c r="O37" s="456">
        <v>0</v>
      </c>
      <c r="P37" s="456">
        <v>0</v>
      </c>
      <c r="Q37" s="456">
        <f t="shared" si="3"/>
        <v>0</v>
      </c>
      <c r="R37" s="456">
        <v>1</v>
      </c>
      <c r="S37" s="456">
        <v>31468</v>
      </c>
      <c r="T37" s="456">
        <v>1</v>
      </c>
      <c r="U37" s="456">
        <v>31468</v>
      </c>
      <c r="W37" s="505"/>
      <c r="X37" s="506"/>
      <c r="Y37" s="507"/>
      <c r="Z37" s="503"/>
      <c r="AA37" s="504"/>
    </row>
    <row r="38" spans="1:27" s="488" customFormat="1" ht="30" customHeight="1" x14ac:dyDescent="0.2">
      <c r="A38" s="143" t="s">
        <v>540</v>
      </c>
      <c r="B38" s="461" t="s">
        <v>321</v>
      </c>
      <c r="C38" s="487">
        <v>71901</v>
      </c>
      <c r="D38" s="468">
        <v>369426.78</v>
      </c>
      <c r="E38" s="463">
        <v>45051</v>
      </c>
      <c r="F38" s="456">
        <v>17</v>
      </c>
      <c r="G38" s="456">
        <v>698701.74</v>
      </c>
      <c r="H38" s="456">
        <v>0</v>
      </c>
      <c r="I38" s="456">
        <v>0</v>
      </c>
      <c r="J38" s="456">
        <v>9</v>
      </c>
      <c r="K38" s="456">
        <v>369426.78</v>
      </c>
      <c r="L38" s="456">
        <v>9</v>
      </c>
      <c r="M38" s="456">
        <v>9</v>
      </c>
      <c r="N38" s="456">
        <v>369426.78</v>
      </c>
      <c r="O38" s="456">
        <v>0</v>
      </c>
      <c r="P38" s="456">
        <v>0</v>
      </c>
      <c r="Q38" s="455">
        <f t="shared" si="3"/>
        <v>0</v>
      </c>
      <c r="R38" s="456">
        <v>6</v>
      </c>
      <c r="S38" s="456">
        <v>159036.40000000002</v>
      </c>
      <c r="T38" s="456">
        <v>3</v>
      </c>
      <c r="U38" s="456">
        <v>77327.01999999999</v>
      </c>
      <c r="W38" s="505"/>
      <c r="X38" s="506"/>
      <c r="Y38" s="507"/>
      <c r="Z38" s="503"/>
      <c r="AA38" s="504"/>
    </row>
    <row r="39" spans="1:27" s="488" customFormat="1" ht="22.5" x14ac:dyDescent="0.2">
      <c r="A39" s="143" t="s">
        <v>245</v>
      </c>
      <c r="B39" s="461" t="s">
        <v>334</v>
      </c>
      <c r="C39" s="487">
        <v>71862</v>
      </c>
      <c r="D39" s="468">
        <v>386409.43</v>
      </c>
      <c r="E39" s="463">
        <v>45051</v>
      </c>
      <c r="F39" s="456">
        <v>5</v>
      </c>
      <c r="G39" s="456">
        <v>389429.73000000004</v>
      </c>
      <c r="H39" s="456">
        <v>0</v>
      </c>
      <c r="I39" s="456">
        <v>0</v>
      </c>
      <c r="J39" s="456">
        <v>5</v>
      </c>
      <c r="K39" s="456">
        <v>386409.43</v>
      </c>
      <c r="L39" s="456">
        <v>5</v>
      </c>
      <c r="M39" s="456">
        <v>5</v>
      </c>
      <c r="N39" s="456">
        <v>386409.43</v>
      </c>
      <c r="O39" s="456">
        <v>0</v>
      </c>
      <c r="P39" s="456">
        <v>0</v>
      </c>
      <c r="Q39" s="455">
        <f t="shared" si="3"/>
        <v>0</v>
      </c>
      <c r="R39" s="456">
        <v>1</v>
      </c>
      <c r="S39" s="456">
        <v>87635.24</v>
      </c>
      <c r="T39" s="456">
        <v>0</v>
      </c>
      <c r="U39" s="456">
        <v>0</v>
      </c>
      <c r="W39" s="505"/>
      <c r="X39" s="506"/>
      <c r="Y39" s="507"/>
      <c r="Z39" s="503"/>
      <c r="AA39" s="504"/>
    </row>
    <row r="40" spans="1:27" x14ac:dyDescent="0.2">
      <c r="A40" s="19" t="s">
        <v>1</v>
      </c>
      <c r="B40" s="19"/>
      <c r="C40" s="60"/>
      <c r="D40" s="20">
        <f>SUM(D31:D39)</f>
        <v>3567019.52</v>
      </c>
      <c r="E40" s="20"/>
      <c r="F40" s="20">
        <f t="shared" ref="F40:U40" si="4">SUM(F31:F39)</f>
        <v>60</v>
      </c>
      <c r="G40" s="20">
        <f t="shared" si="4"/>
        <v>4525498.1400000006</v>
      </c>
      <c r="H40" s="20">
        <f t="shared" si="4"/>
        <v>1</v>
      </c>
      <c r="I40" s="20">
        <f t="shared" si="4"/>
        <v>45000</v>
      </c>
      <c r="J40" s="20">
        <f t="shared" si="4"/>
        <v>42</v>
      </c>
      <c r="K40" s="20">
        <f t="shared" si="4"/>
        <v>3601641.3699999996</v>
      </c>
      <c r="L40" s="20">
        <f t="shared" si="4"/>
        <v>42</v>
      </c>
      <c r="M40" s="20">
        <f t="shared" si="4"/>
        <v>42</v>
      </c>
      <c r="N40" s="20">
        <f t="shared" si="4"/>
        <v>3601641.3699999996</v>
      </c>
      <c r="O40" s="20">
        <f t="shared" si="4"/>
        <v>5</v>
      </c>
      <c r="P40" s="20">
        <f t="shared" si="4"/>
        <v>305862.34000000003</v>
      </c>
      <c r="Q40" s="20">
        <f t="shared" si="4"/>
        <v>0</v>
      </c>
      <c r="R40" s="20">
        <f t="shared" si="4"/>
        <v>36</v>
      </c>
      <c r="S40" s="20">
        <f t="shared" si="4"/>
        <v>2207499.9600000004</v>
      </c>
      <c r="T40" s="530">
        <f t="shared" si="4"/>
        <v>32</v>
      </c>
      <c r="U40" s="530">
        <f t="shared" si="4"/>
        <v>2018768.3199999998</v>
      </c>
      <c r="W40" s="158"/>
    </row>
    <row r="41" spans="1:27" customFormat="1" ht="15" customHeight="1" x14ac:dyDescent="0.25">
      <c r="A41" s="219" t="s">
        <v>390</v>
      </c>
      <c r="B41" s="140"/>
      <c r="C41" s="140"/>
      <c r="D41" s="140"/>
      <c r="E41" s="140"/>
      <c r="F41" s="140"/>
      <c r="G41" s="140"/>
      <c r="H41" s="140"/>
      <c r="I41" s="140"/>
      <c r="J41" s="140"/>
      <c r="K41" s="140"/>
      <c r="L41" s="140"/>
      <c r="M41" s="140"/>
      <c r="N41" s="140"/>
      <c r="O41" s="140"/>
      <c r="P41" s="140"/>
      <c r="Q41" s="140"/>
      <c r="R41" s="140"/>
    </row>
    <row r="42" spans="1:27" s="23" customFormat="1" ht="24.6" customHeight="1" x14ac:dyDescent="0.25">
      <c r="A42" s="1148" t="s">
        <v>732</v>
      </c>
      <c r="B42" s="1148"/>
      <c r="C42" s="1148"/>
      <c r="D42" s="1148"/>
      <c r="E42" s="1148"/>
      <c r="F42" s="1148"/>
      <c r="G42" s="1148"/>
      <c r="H42" s="1148"/>
      <c r="I42" s="1148"/>
      <c r="J42" s="1148"/>
      <c r="K42" s="1148"/>
      <c r="L42" s="1148"/>
      <c r="M42" s="1148"/>
      <c r="N42" s="1148"/>
      <c r="O42" s="1148"/>
      <c r="P42" s="1148"/>
      <c r="Q42" s="1148"/>
      <c r="R42" s="1148"/>
      <c r="S42" s="1148"/>
      <c r="T42" s="1148"/>
      <c r="U42" s="1148"/>
      <c r="V42" s="90"/>
      <c r="X42" s="90"/>
    </row>
  </sheetData>
  <mergeCells count="36">
    <mergeCell ref="A1:U1"/>
    <mergeCell ref="A2:A5"/>
    <mergeCell ref="B2:B5"/>
    <mergeCell ref="D2:D5"/>
    <mergeCell ref="E2:E5"/>
    <mergeCell ref="F2:G4"/>
    <mergeCell ref="J2:K4"/>
    <mergeCell ref="O28:P29"/>
    <mergeCell ref="M29:N29"/>
    <mergeCell ref="A25:U25"/>
    <mergeCell ref="T2:U4"/>
    <mergeCell ref="L3:N3"/>
    <mergeCell ref="O3:P4"/>
    <mergeCell ref="H2:I4"/>
    <mergeCell ref="C2:C5"/>
    <mergeCell ref="L2:P2"/>
    <mergeCell ref="Q2:Q4"/>
    <mergeCell ref="R2:S4"/>
    <mergeCell ref="M4:N4"/>
    <mergeCell ref="L4:L5"/>
    <mergeCell ref="A42:U42"/>
    <mergeCell ref="L29:L30"/>
    <mergeCell ref="C27:C30"/>
    <mergeCell ref="A26:U26"/>
    <mergeCell ref="A27:A30"/>
    <mergeCell ref="B27:B30"/>
    <mergeCell ref="D27:D30"/>
    <mergeCell ref="E27:E30"/>
    <mergeCell ref="F27:G29"/>
    <mergeCell ref="J27:K29"/>
    <mergeCell ref="L27:P27"/>
    <mergeCell ref="Q27:Q29"/>
    <mergeCell ref="R27:S29"/>
    <mergeCell ref="T27:U29"/>
    <mergeCell ref="L28:N28"/>
    <mergeCell ref="H27:I29"/>
  </mergeCells>
  <printOptions horizontalCentered="1"/>
  <pageMargins left="0.70866141732283472" right="0.70866141732283472" top="0.74803149606299213" bottom="0.74803149606299213" header="0.31496062992125984" footer="0.31496062992125984"/>
  <pageSetup paperSize="9" scale="86" fitToHeight="0" orientation="landscape" r:id="rId1"/>
  <rowBreaks count="1" manualBreakCount="1">
    <brk id="25" max="20" man="1"/>
  </rowBreaks>
  <colBreaks count="1" manualBreakCount="1">
    <brk id="21"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3"/>
  <sheetViews>
    <sheetView view="pageBreakPreview" topLeftCell="C7" zoomScaleNormal="100" zoomScaleSheetLayoutView="100" workbookViewId="0">
      <selection activeCell="T17" sqref="T17:U17"/>
    </sheetView>
  </sheetViews>
  <sheetFormatPr defaultColWidth="8.7109375" defaultRowHeight="11.25" x14ac:dyDescent="0.2"/>
  <cols>
    <col min="1" max="1" width="6" style="12" customWidth="1"/>
    <col min="2" max="2" width="35.85546875" style="12" customWidth="1"/>
    <col min="3" max="3" width="7.140625" style="12" customWidth="1"/>
    <col min="4" max="4" width="10.140625" style="12" customWidth="1"/>
    <col min="5" max="5" width="9" style="12" customWidth="1"/>
    <col min="6" max="6" width="4.140625" style="12" customWidth="1"/>
    <col min="7" max="7" width="9.140625" style="12" customWidth="1"/>
    <col min="8" max="8" width="3.140625" style="12" bestFit="1" customWidth="1"/>
    <col min="9" max="9" width="5.85546875" style="12" bestFit="1" customWidth="1"/>
    <col min="10" max="10" width="3.28515625" style="12" bestFit="1" customWidth="1"/>
    <col min="11" max="11" width="10.7109375" style="12" customWidth="1"/>
    <col min="12" max="12" width="2.85546875" style="12" customWidth="1"/>
    <col min="13" max="13" width="3.28515625" style="12" bestFit="1" customWidth="1"/>
    <col min="14" max="14" width="10.7109375" style="327" customWidth="1"/>
    <col min="15" max="15" width="3.140625" style="12" bestFit="1" customWidth="1"/>
    <col min="16" max="16" width="8.5703125" style="12" customWidth="1"/>
    <col min="17" max="17" width="8.42578125" style="12" customWidth="1"/>
    <col min="18" max="18" width="3.140625" style="12" bestFit="1" customWidth="1"/>
    <col min="19" max="19" width="10" style="12" customWidth="1"/>
    <col min="20" max="20" width="3.140625" style="12" bestFit="1" customWidth="1"/>
    <col min="21" max="21" width="9.28515625" style="12" customWidth="1"/>
    <col min="22" max="22" width="8.7109375" style="96"/>
    <col min="23" max="16384" width="8.7109375" style="12"/>
  </cols>
  <sheetData>
    <row r="1" spans="1:23" ht="15" customHeight="1" x14ac:dyDescent="0.2">
      <c r="A1" s="1149" t="s">
        <v>657</v>
      </c>
      <c r="B1" s="1149"/>
      <c r="C1" s="1150"/>
      <c r="D1" s="1149"/>
      <c r="E1" s="1149"/>
      <c r="F1" s="1149"/>
      <c r="G1" s="1149"/>
      <c r="H1" s="1150"/>
      <c r="I1" s="1150"/>
      <c r="J1" s="1149"/>
      <c r="K1" s="1149"/>
      <c r="L1" s="1149"/>
      <c r="M1" s="1149"/>
      <c r="N1" s="1149"/>
      <c r="O1" s="1149"/>
      <c r="P1" s="1149"/>
      <c r="Q1" s="1149"/>
      <c r="R1" s="1149"/>
      <c r="S1" s="1149"/>
      <c r="T1" s="1149"/>
      <c r="U1" s="1149"/>
      <c r="W1" s="96"/>
    </row>
    <row r="2" spans="1:23"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W2" s="96"/>
    </row>
    <row r="3" spans="1:23"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W3" s="96"/>
    </row>
    <row r="4" spans="1:23"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W4" s="96"/>
    </row>
    <row r="5" spans="1:23" ht="21"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W5" s="96"/>
    </row>
    <row r="6" spans="1:23" x14ac:dyDescent="0.2">
      <c r="A6" s="340" t="s">
        <v>242</v>
      </c>
      <c r="B6" s="452" t="s">
        <v>243</v>
      </c>
      <c r="C6" s="465">
        <v>24941</v>
      </c>
      <c r="D6" s="468">
        <v>380000</v>
      </c>
      <c r="E6" s="17">
        <v>43707</v>
      </c>
      <c r="F6" s="454">
        <v>18</v>
      </c>
      <c r="G6" s="455">
        <v>943135.7</v>
      </c>
      <c r="H6" s="456">
        <v>0</v>
      </c>
      <c r="I6" s="456">
        <v>0</v>
      </c>
      <c r="J6" s="556">
        <v>10</v>
      </c>
      <c r="K6" s="466">
        <v>513211.4</v>
      </c>
      <c r="L6" s="403">
        <v>8</v>
      </c>
      <c r="M6" s="486">
        <v>8</v>
      </c>
      <c r="N6" s="486">
        <v>380060</v>
      </c>
      <c r="O6" s="403">
        <v>5</v>
      </c>
      <c r="P6" s="486">
        <v>253563.3</v>
      </c>
      <c r="Q6" s="456">
        <f>K6-N6</f>
        <v>133151.40000000002</v>
      </c>
      <c r="R6" s="403">
        <v>17</v>
      </c>
      <c r="S6" s="456">
        <v>418536.5</v>
      </c>
      <c r="T6" s="403">
        <v>14</v>
      </c>
      <c r="U6" s="456">
        <v>347437.49999999994</v>
      </c>
      <c r="V6" s="12"/>
    </row>
    <row r="7" spans="1:23" ht="22.5" x14ac:dyDescent="0.2">
      <c r="A7" s="340" t="s">
        <v>242</v>
      </c>
      <c r="B7" s="452" t="s">
        <v>244</v>
      </c>
      <c r="C7" s="465">
        <v>25205</v>
      </c>
      <c r="D7" s="468">
        <v>45000</v>
      </c>
      <c r="E7" s="17">
        <v>43707</v>
      </c>
      <c r="F7" s="454">
        <v>3</v>
      </c>
      <c r="G7" s="455">
        <v>135000</v>
      </c>
      <c r="H7" s="456">
        <v>0</v>
      </c>
      <c r="I7" s="456">
        <v>0</v>
      </c>
      <c r="J7" s="556">
        <v>3</v>
      </c>
      <c r="K7" s="466">
        <v>135000</v>
      </c>
      <c r="L7" s="403">
        <v>3</v>
      </c>
      <c r="M7" s="403">
        <v>3</v>
      </c>
      <c r="N7" s="486">
        <v>135000</v>
      </c>
      <c r="O7" s="403">
        <v>0</v>
      </c>
      <c r="P7" s="486">
        <v>0</v>
      </c>
      <c r="Q7" s="456">
        <f t="shared" ref="Q7:Q17" si="0">K7-N7</f>
        <v>0</v>
      </c>
      <c r="R7" s="403">
        <v>3</v>
      </c>
      <c r="S7" s="456">
        <v>76500</v>
      </c>
      <c r="T7" s="403">
        <v>2</v>
      </c>
      <c r="U7" s="456">
        <v>45000</v>
      </c>
      <c r="V7" s="12"/>
    </row>
    <row r="8" spans="1:23" ht="22.5" x14ac:dyDescent="0.2">
      <c r="A8" s="143" t="s">
        <v>541</v>
      </c>
      <c r="B8" s="452" t="s">
        <v>264</v>
      </c>
      <c r="C8" s="465">
        <v>31304</v>
      </c>
      <c r="D8" s="468">
        <v>30000</v>
      </c>
      <c r="E8" s="17">
        <v>43742.999988425923</v>
      </c>
      <c r="F8" s="454">
        <v>4</v>
      </c>
      <c r="G8" s="455">
        <v>54440</v>
      </c>
      <c r="H8" s="456">
        <v>0</v>
      </c>
      <c r="I8" s="456">
        <v>0</v>
      </c>
      <c r="J8" s="556">
        <v>3</v>
      </c>
      <c r="K8" s="466">
        <v>46485.35</v>
      </c>
      <c r="L8" s="403">
        <v>3</v>
      </c>
      <c r="M8" s="403">
        <v>3</v>
      </c>
      <c r="N8" s="486">
        <v>46485.35</v>
      </c>
      <c r="O8" s="403">
        <v>1</v>
      </c>
      <c r="P8" s="486">
        <v>6500</v>
      </c>
      <c r="Q8" s="456">
        <f t="shared" si="0"/>
        <v>0</v>
      </c>
      <c r="R8" s="403">
        <v>2</v>
      </c>
      <c r="S8" s="456">
        <v>30000</v>
      </c>
      <c r="T8" s="403">
        <v>2</v>
      </c>
      <c r="U8" s="456">
        <v>30000</v>
      </c>
      <c r="V8" s="12"/>
    </row>
    <row r="9" spans="1:23" ht="22.5" x14ac:dyDescent="0.2">
      <c r="A9" s="143" t="s">
        <v>540</v>
      </c>
      <c r="B9" s="452" t="s">
        <v>265</v>
      </c>
      <c r="C9" s="465">
        <v>31305</v>
      </c>
      <c r="D9" s="468">
        <v>6390.09</v>
      </c>
      <c r="E9" s="17">
        <v>43742.999988425923</v>
      </c>
      <c r="F9" s="454">
        <v>5</v>
      </c>
      <c r="G9" s="455">
        <v>80963</v>
      </c>
      <c r="H9" s="456">
        <v>0</v>
      </c>
      <c r="I9" s="456">
        <v>0</v>
      </c>
      <c r="J9" s="556">
        <v>2</v>
      </c>
      <c r="K9" s="466">
        <v>22140.09</v>
      </c>
      <c r="L9" s="403">
        <v>2</v>
      </c>
      <c r="M9" s="403">
        <v>2</v>
      </c>
      <c r="N9" s="486">
        <v>22140.09</v>
      </c>
      <c r="O9" s="403">
        <v>3</v>
      </c>
      <c r="P9" s="486">
        <v>52995.4</v>
      </c>
      <c r="Q9" s="456">
        <f t="shared" si="0"/>
        <v>0</v>
      </c>
      <c r="R9" s="403">
        <v>2</v>
      </c>
      <c r="S9" s="456">
        <v>14265.09</v>
      </c>
      <c r="T9" s="403">
        <v>1</v>
      </c>
      <c r="U9" s="456">
        <v>6390.09</v>
      </c>
      <c r="V9" s="12"/>
    </row>
    <row r="10" spans="1:23" ht="22.5" x14ac:dyDescent="0.2">
      <c r="A10" s="143" t="s">
        <v>541</v>
      </c>
      <c r="B10" s="452" t="s">
        <v>266</v>
      </c>
      <c r="C10" s="465">
        <v>35405</v>
      </c>
      <c r="D10" s="468">
        <v>119035.9</v>
      </c>
      <c r="E10" s="17">
        <v>43795.999988425923</v>
      </c>
      <c r="F10" s="454">
        <v>7</v>
      </c>
      <c r="G10" s="455">
        <v>202951.8</v>
      </c>
      <c r="H10" s="456">
        <v>0</v>
      </c>
      <c r="I10" s="456">
        <v>0</v>
      </c>
      <c r="J10" s="556">
        <v>4</v>
      </c>
      <c r="K10" s="466">
        <v>119035.9</v>
      </c>
      <c r="L10" s="403">
        <v>4</v>
      </c>
      <c r="M10" s="403">
        <v>4</v>
      </c>
      <c r="N10" s="486">
        <v>119035.9</v>
      </c>
      <c r="O10" s="403">
        <v>3</v>
      </c>
      <c r="P10" s="486">
        <v>83000</v>
      </c>
      <c r="Q10" s="456">
        <f t="shared" si="0"/>
        <v>0</v>
      </c>
      <c r="R10" s="403">
        <v>5</v>
      </c>
      <c r="S10" s="456">
        <v>89035.9</v>
      </c>
      <c r="T10" s="403">
        <v>5</v>
      </c>
      <c r="U10" s="456">
        <v>88658.52</v>
      </c>
      <c r="V10" s="12"/>
    </row>
    <row r="11" spans="1:23" ht="45" x14ac:dyDescent="0.2">
      <c r="A11" s="143" t="s">
        <v>242</v>
      </c>
      <c r="B11" s="452" t="s">
        <v>286</v>
      </c>
      <c r="C11" s="465">
        <v>42383</v>
      </c>
      <c r="D11" s="468">
        <v>0</v>
      </c>
      <c r="E11" s="17">
        <v>44104</v>
      </c>
      <c r="F11" s="456">
        <v>0</v>
      </c>
      <c r="G11" s="456">
        <v>0</v>
      </c>
      <c r="H11" s="456">
        <v>0</v>
      </c>
      <c r="I11" s="456">
        <v>0</v>
      </c>
      <c r="J11" s="556">
        <v>0</v>
      </c>
      <c r="K11" s="466">
        <v>0</v>
      </c>
      <c r="L11" s="456">
        <v>0</v>
      </c>
      <c r="M11" s="456">
        <v>0</v>
      </c>
      <c r="N11" s="486">
        <v>0</v>
      </c>
      <c r="O11" s="456">
        <v>0</v>
      </c>
      <c r="P11" s="456">
        <v>0</v>
      </c>
      <c r="Q11" s="456">
        <f t="shared" si="0"/>
        <v>0</v>
      </c>
      <c r="R11" s="456">
        <v>0</v>
      </c>
      <c r="S11" s="456">
        <v>0</v>
      </c>
      <c r="T11" s="456">
        <v>0</v>
      </c>
      <c r="U11" s="456">
        <v>0</v>
      </c>
      <c r="V11" s="12"/>
    </row>
    <row r="12" spans="1:23" ht="22.5" x14ac:dyDescent="0.2">
      <c r="A12" s="143" t="s">
        <v>541</v>
      </c>
      <c r="B12" s="452" t="s">
        <v>287</v>
      </c>
      <c r="C12" s="465">
        <v>42644</v>
      </c>
      <c r="D12" s="468">
        <v>224591.16</v>
      </c>
      <c r="E12" s="17">
        <v>44104</v>
      </c>
      <c r="F12" s="454">
        <v>10</v>
      </c>
      <c r="G12" s="455">
        <v>376610</v>
      </c>
      <c r="H12" s="456">
        <v>0</v>
      </c>
      <c r="I12" s="456">
        <v>0</v>
      </c>
      <c r="J12" s="556">
        <v>6</v>
      </c>
      <c r="K12" s="466">
        <v>224591.16</v>
      </c>
      <c r="L12" s="403">
        <v>6</v>
      </c>
      <c r="M12" s="403">
        <v>6</v>
      </c>
      <c r="N12" s="486">
        <v>224591.16</v>
      </c>
      <c r="O12" s="403">
        <v>4</v>
      </c>
      <c r="P12" s="486">
        <v>150300</v>
      </c>
      <c r="Q12" s="456">
        <f t="shared" si="0"/>
        <v>0</v>
      </c>
      <c r="R12" s="403">
        <v>6</v>
      </c>
      <c r="S12" s="456">
        <v>148080.71</v>
      </c>
      <c r="T12" s="403">
        <v>5</v>
      </c>
      <c r="U12" s="456">
        <v>129663.92</v>
      </c>
      <c r="V12" s="12"/>
    </row>
    <row r="13" spans="1:23" ht="22.5" x14ac:dyDescent="0.2">
      <c r="A13" s="143" t="s">
        <v>55</v>
      </c>
      <c r="B13" s="452" t="s">
        <v>288</v>
      </c>
      <c r="C13" s="465">
        <v>45062</v>
      </c>
      <c r="D13" s="468">
        <v>0</v>
      </c>
      <c r="E13" s="17">
        <v>44104</v>
      </c>
      <c r="F13" s="456">
        <v>0</v>
      </c>
      <c r="G13" s="456">
        <v>0</v>
      </c>
      <c r="H13" s="456">
        <v>0</v>
      </c>
      <c r="I13" s="456">
        <v>0</v>
      </c>
      <c r="J13" s="556">
        <v>0</v>
      </c>
      <c r="K13" s="466">
        <v>0</v>
      </c>
      <c r="L13" s="456">
        <v>0</v>
      </c>
      <c r="M13" s="456">
        <v>0</v>
      </c>
      <c r="N13" s="486">
        <v>0</v>
      </c>
      <c r="O13" s="456">
        <v>0</v>
      </c>
      <c r="P13" s="456">
        <v>0</v>
      </c>
      <c r="Q13" s="456">
        <f t="shared" si="0"/>
        <v>0</v>
      </c>
      <c r="R13" s="456">
        <v>0</v>
      </c>
      <c r="S13" s="456">
        <v>0</v>
      </c>
      <c r="T13" s="456">
        <v>0</v>
      </c>
      <c r="U13" s="456">
        <v>0</v>
      </c>
      <c r="V13" s="12"/>
    </row>
    <row r="14" spans="1:23" s="488" customFormat="1" ht="22.5" x14ac:dyDescent="0.2">
      <c r="A14" s="143" t="s">
        <v>541</v>
      </c>
      <c r="B14" s="461" t="s">
        <v>264</v>
      </c>
      <c r="C14" s="465">
        <v>45422</v>
      </c>
      <c r="D14" s="468">
        <v>0</v>
      </c>
      <c r="E14" s="17">
        <v>44104</v>
      </c>
      <c r="F14" s="456">
        <v>0</v>
      </c>
      <c r="G14" s="456">
        <v>0</v>
      </c>
      <c r="H14" s="456">
        <v>0</v>
      </c>
      <c r="I14" s="456">
        <v>0</v>
      </c>
      <c r="J14" s="556">
        <v>0</v>
      </c>
      <c r="K14" s="466">
        <v>0</v>
      </c>
      <c r="L14" s="456">
        <v>0</v>
      </c>
      <c r="M14" s="456">
        <v>0</v>
      </c>
      <c r="N14" s="486">
        <v>0</v>
      </c>
      <c r="O14" s="456">
        <v>0</v>
      </c>
      <c r="P14" s="456">
        <v>0</v>
      </c>
      <c r="Q14" s="456">
        <f t="shared" si="0"/>
        <v>0</v>
      </c>
      <c r="R14" s="456">
        <v>0</v>
      </c>
      <c r="S14" s="456">
        <v>0</v>
      </c>
      <c r="T14" s="456">
        <v>0</v>
      </c>
      <c r="U14" s="456">
        <v>0</v>
      </c>
    </row>
    <row r="15" spans="1:23" s="488" customFormat="1" ht="22.5" x14ac:dyDescent="0.2">
      <c r="A15" s="143" t="s">
        <v>541</v>
      </c>
      <c r="B15" s="461" t="s">
        <v>289</v>
      </c>
      <c r="C15" s="465">
        <v>45425</v>
      </c>
      <c r="D15" s="468">
        <v>76374.87</v>
      </c>
      <c r="E15" s="17">
        <v>44104</v>
      </c>
      <c r="F15" s="489">
        <v>3</v>
      </c>
      <c r="G15" s="455">
        <v>80192.5</v>
      </c>
      <c r="H15" s="456">
        <v>0</v>
      </c>
      <c r="I15" s="456">
        <v>0</v>
      </c>
      <c r="J15" s="556">
        <v>3</v>
      </c>
      <c r="K15" s="466">
        <v>76374.87</v>
      </c>
      <c r="L15" s="403">
        <v>3</v>
      </c>
      <c r="M15" s="403">
        <v>3</v>
      </c>
      <c r="N15" s="486">
        <v>76374.86</v>
      </c>
      <c r="O15" s="403">
        <v>0</v>
      </c>
      <c r="P15" s="486">
        <v>0</v>
      </c>
      <c r="Q15" s="456">
        <f t="shared" si="0"/>
        <v>9.9999999947613105E-3</v>
      </c>
      <c r="R15" s="403">
        <v>2</v>
      </c>
      <c r="S15" s="456">
        <v>59875.040000000001</v>
      </c>
      <c r="T15" s="403">
        <v>1</v>
      </c>
      <c r="U15" s="456">
        <v>29875.040000000001</v>
      </c>
    </row>
    <row r="16" spans="1:23" s="488" customFormat="1" ht="22.5" x14ac:dyDescent="0.2">
      <c r="A16" s="143" t="s">
        <v>245</v>
      </c>
      <c r="B16" s="461" t="s">
        <v>415</v>
      </c>
      <c r="C16" s="465">
        <v>56722</v>
      </c>
      <c r="D16" s="468">
        <v>954360</v>
      </c>
      <c r="E16" s="110">
        <v>44545</v>
      </c>
      <c r="F16" s="456">
        <v>16</v>
      </c>
      <c r="G16" s="456">
        <v>954360</v>
      </c>
      <c r="H16" s="456">
        <v>0</v>
      </c>
      <c r="I16" s="456">
        <v>0</v>
      </c>
      <c r="J16" s="556">
        <v>15</v>
      </c>
      <c r="K16" s="466">
        <v>874075.24000000011</v>
      </c>
      <c r="L16" s="456">
        <v>15</v>
      </c>
      <c r="M16" s="456">
        <v>15</v>
      </c>
      <c r="N16" s="486">
        <v>874075.24000000011</v>
      </c>
      <c r="O16" s="456">
        <v>1</v>
      </c>
      <c r="P16" s="456">
        <v>60000</v>
      </c>
      <c r="Q16" s="456">
        <f t="shared" si="0"/>
        <v>0</v>
      </c>
      <c r="R16" s="456">
        <v>3</v>
      </c>
      <c r="S16" s="456">
        <v>168970.19</v>
      </c>
      <c r="T16" s="456">
        <v>2</v>
      </c>
      <c r="U16" s="456">
        <v>117902.6</v>
      </c>
    </row>
    <row r="17" spans="1:25" s="488" customFormat="1" ht="12" x14ac:dyDescent="0.2">
      <c r="A17" s="143" t="s">
        <v>541</v>
      </c>
      <c r="B17" s="490" t="s">
        <v>491</v>
      </c>
      <c r="C17" s="465">
        <v>64866</v>
      </c>
      <c r="D17" s="468">
        <v>551890.34</v>
      </c>
      <c r="E17" s="463">
        <v>44732</v>
      </c>
      <c r="F17" s="456">
        <v>9</v>
      </c>
      <c r="G17" s="456">
        <v>580480.91999999993</v>
      </c>
      <c r="H17" s="456">
        <v>0</v>
      </c>
      <c r="I17" s="456">
        <v>0</v>
      </c>
      <c r="J17" s="556">
        <v>9</v>
      </c>
      <c r="K17" s="466">
        <v>551890.34</v>
      </c>
      <c r="L17" s="456">
        <v>9</v>
      </c>
      <c r="M17" s="456">
        <v>9</v>
      </c>
      <c r="N17" s="486">
        <v>551890.34</v>
      </c>
      <c r="O17" s="456">
        <v>0</v>
      </c>
      <c r="P17" s="456">
        <v>0</v>
      </c>
      <c r="Q17" s="456">
        <f t="shared" si="0"/>
        <v>0</v>
      </c>
      <c r="R17" s="456">
        <v>12</v>
      </c>
      <c r="S17" s="456">
        <v>427145.93</v>
      </c>
      <c r="T17" s="456">
        <v>11</v>
      </c>
      <c r="U17" s="456">
        <v>397945.17999999993</v>
      </c>
      <c r="X17" s="491"/>
      <c r="Y17" s="492"/>
    </row>
    <row r="18" spans="1:25" s="488" customFormat="1" ht="45" x14ac:dyDescent="0.2">
      <c r="A18" s="357" t="s">
        <v>275</v>
      </c>
      <c r="B18" s="464" t="s">
        <v>558</v>
      </c>
      <c r="C18" s="465">
        <v>73441</v>
      </c>
      <c r="D18" s="468">
        <v>112000</v>
      </c>
      <c r="E18" s="453">
        <v>45111</v>
      </c>
      <c r="F18" s="456">
        <v>1</v>
      </c>
      <c r="G18" s="456">
        <v>112000</v>
      </c>
      <c r="H18" s="456">
        <v>0</v>
      </c>
      <c r="I18" s="456">
        <v>0</v>
      </c>
      <c r="J18" s="556">
        <v>1</v>
      </c>
      <c r="K18" s="466">
        <v>112000</v>
      </c>
      <c r="L18" s="456">
        <v>1</v>
      </c>
      <c r="M18" s="456">
        <v>1</v>
      </c>
      <c r="N18" s="486">
        <v>112000</v>
      </c>
      <c r="O18" s="456">
        <v>0</v>
      </c>
      <c r="P18" s="456">
        <v>0</v>
      </c>
      <c r="Q18" s="456">
        <f>K18-N18</f>
        <v>0</v>
      </c>
      <c r="R18" s="456">
        <v>1</v>
      </c>
      <c r="S18" s="456">
        <v>56000</v>
      </c>
      <c r="T18" s="456">
        <v>1</v>
      </c>
      <c r="U18" s="456">
        <v>56000</v>
      </c>
      <c r="X18" s="493"/>
      <c r="Y18" s="494"/>
    </row>
    <row r="19" spans="1:25" s="488" customFormat="1" ht="22.5" x14ac:dyDescent="0.2">
      <c r="A19" s="357" t="s">
        <v>151</v>
      </c>
      <c r="B19" s="464" t="s">
        <v>559</v>
      </c>
      <c r="C19" s="465">
        <v>73465</v>
      </c>
      <c r="D19" s="468">
        <v>562141.98</v>
      </c>
      <c r="E19" s="453">
        <v>45126</v>
      </c>
      <c r="F19" s="456">
        <v>6</v>
      </c>
      <c r="G19" s="456">
        <v>844175.43</v>
      </c>
      <c r="H19" s="456">
        <v>0</v>
      </c>
      <c r="I19" s="456">
        <v>0</v>
      </c>
      <c r="J19" s="556">
        <v>4</v>
      </c>
      <c r="K19" s="466">
        <v>562141.98</v>
      </c>
      <c r="L19" s="456">
        <v>4</v>
      </c>
      <c r="M19" s="456">
        <v>4</v>
      </c>
      <c r="N19" s="486">
        <v>547181.65999999992</v>
      </c>
      <c r="O19" s="456">
        <v>2</v>
      </c>
      <c r="P19" s="456">
        <v>281503.41000000003</v>
      </c>
      <c r="Q19" s="456">
        <f>K19-N19</f>
        <v>14960.320000000065</v>
      </c>
      <c r="R19" s="456">
        <v>2</v>
      </c>
      <c r="S19" s="456">
        <v>315061.59999999998</v>
      </c>
      <c r="T19" s="456">
        <v>0</v>
      </c>
      <c r="U19" s="456">
        <v>0</v>
      </c>
      <c r="X19" s="493"/>
      <c r="Y19" s="494"/>
    </row>
    <row r="20" spans="1:25" s="488" customFormat="1" ht="33.75" x14ac:dyDescent="0.2">
      <c r="A20" s="357" t="s">
        <v>275</v>
      </c>
      <c r="B20" s="464" t="s">
        <v>578</v>
      </c>
      <c r="C20" s="465">
        <v>74681</v>
      </c>
      <c r="D20" s="468">
        <v>60000</v>
      </c>
      <c r="E20" s="453">
        <v>45145</v>
      </c>
      <c r="F20" s="456">
        <v>1</v>
      </c>
      <c r="G20" s="456">
        <v>60000</v>
      </c>
      <c r="H20" s="456">
        <v>0</v>
      </c>
      <c r="I20" s="456">
        <v>0</v>
      </c>
      <c r="J20" s="556">
        <v>1</v>
      </c>
      <c r="K20" s="466">
        <v>60000</v>
      </c>
      <c r="L20" s="456">
        <v>1</v>
      </c>
      <c r="M20" s="456">
        <v>1</v>
      </c>
      <c r="N20" s="486">
        <v>60000</v>
      </c>
      <c r="O20" s="456">
        <v>0</v>
      </c>
      <c r="P20" s="456">
        <v>0</v>
      </c>
      <c r="Q20" s="456">
        <f>K20-N20</f>
        <v>0</v>
      </c>
      <c r="R20" s="456">
        <v>1</v>
      </c>
      <c r="S20" s="456">
        <v>30000</v>
      </c>
      <c r="T20" s="456">
        <v>1</v>
      </c>
      <c r="U20" s="456">
        <v>30000</v>
      </c>
      <c r="X20" s="493"/>
      <c r="Y20" s="494"/>
    </row>
    <row r="21" spans="1:25" s="488" customFormat="1" ht="22.5" x14ac:dyDescent="0.2">
      <c r="A21" s="357" t="s">
        <v>151</v>
      </c>
      <c r="B21" s="464" t="s">
        <v>559</v>
      </c>
      <c r="C21" s="465">
        <v>78844</v>
      </c>
      <c r="D21" s="468">
        <v>427113.34</v>
      </c>
      <c r="E21" s="453">
        <v>45380</v>
      </c>
      <c r="F21" s="456">
        <v>3</v>
      </c>
      <c r="G21" s="456">
        <v>439755.94</v>
      </c>
      <c r="H21" s="456">
        <v>0</v>
      </c>
      <c r="I21" s="456">
        <v>0</v>
      </c>
      <c r="J21" s="556">
        <v>2</v>
      </c>
      <c r="K21" s="466">
        <v>282948</v>
      </c>
      <c r="L21" s="456">
        <v>2</v>
      </c>
      <c r="M21" s="456">
        <v>2</v>
      </c>
      <c r="N21" s="486">
        <v>282948</v>
      </c>
      <c r="O21" s="456">
        <v>1</v>
      </c>
      <c r="P21" s="456">
        <v>156807.94</v>
      </c>
      <c r="Q21" s="456">
        <f t="shared" ref="Q21:Q23" si="1">K21-N21</f>
        <v>0</v>
      </c>
      <c r="R21" s="456">
        <v>1</v>
      </c>
      <c r="S21" s="456">
        <v>69911.87</v>
      </c>
      <c r="T21" s="456">
        <v>0</v>
      </c>
      <c r="U21" s="456">
        <v>0</v>
      </c>
      <c r="X21" s="493"/>
      <c r="Y21" s="494"/>
    </row>
    <row r="22" spans="1:25" s="488" customFormat="1" ht="22.5" x14ac:dyDescent="0.2">
      <c r="A22" s="495" t="s">
        <v>238</v>
      </c>
      <c r="B22" s="496" t="s">
        <v>664</v>
      </c>
      <c r="C22" s="465">
        <v>79223</v>
      </c>
      <c r="D22" s="468">
        <v>1374482.59</v>
      </c>
      <c r="E22" s="471">
        <v>45411.999988425923</v>
      </c>
      <c r="F22" s="456">
        <v>17</v>
      </c>
      <c r="G22" s="456">
        <v>1304376.5</v>
      </c>
      <c r="H22" s="456">
        <v>0</v>
      </c>
      <c r="I22" s="456">
        <v>0</v>
      </c>
      <c r="J22" s="556">
        <v>16</v>
      </c>
      <c r="K22" s="466">
        <v>1195056.5500000003</v>
      </c>
      <c r="L22" s="456">
        <v>16</v>
      </c>
      <c r="M22" s="456">
        <v>16</v>
      </c>
      <c r="N22" s="486">
        <v>1164736.3299999996</v>
      </c>
      <c r="O22" s="456">
        <v>1</v>
      </c>
      <c r="P22" s="456">
        <v>76360</v>
      </c>
      <c r="Q22" s="456">
        <f t="shared" si="1"/>
        <v>30320.220000000671</v>
      </c>
      <c r="R22" s="456">
        <v>1</v>
      </c>
      <c r="S22" s="456">
        <v>69082.69</v>
      </c>
      <c r="T22" s="456">
        <v>0</v>
      </c>
      <c r="U22" s="456">
        <v>0</v>
      </c>
      <c r="X22" s="493"/>
      <c r="Y22" s="494"/>
    </row>
    <row r="23" spans="1:25" s="488" customFormat="1" ht="22.5" x14ac:dyDescent="0.2">
      <c r="A23" s="495" t="s">
        <v>238</v>
      </c>
      <c r="B23" s="496" t="s">
        <v>664</v>
      </c>
      <c r="C23" s="465">
        <v>84202</v>
      </c>
      <c r="D23" s="468">
        <v>370091.21</v>
      </c>
      <c r="E23" s="471">
        <v>45600</v>
      </c>
      <c r="F23" s="456">
        <v>7</v>
      </c>
      <c r="G23" s="456">
        <v>618540.65999999992</v>
      </c>
      <c r="H23" s="456">
        <v>0</v>
      </c>
      <c r="I23" s="456">
        <v>0</v>
      </c>
      <c r="J23" s="456">
        <v>7</v>
      </c>
      <c r="K23" s="466">
        <v>618540.65999999992</v>
      </c>
      <c r="L23" s="456">
        <v>6</v>
      </c>
      <c r="M23" s="456">
        <v>0</v>
      </c>
      <c r="N23" s="486">
        <v>0</v>
      </c>
      <c r="O23" s="456">
        <v>0</v>
      </c>
      <c r="P23" s="456">
        <v>0</v>
      </c>
      <c r="Q23" s="456">
        <f t="shared" si="1"/>
        <v>618540.65999999992</v>
      </c>
      <c r="R23" s="456">
        <v>0</v>
      </c>
      <c r="S23" s="456">
        <v>0</v>
      </c>
      <c r="T23" s="456">
        <v>0</v>
      </c>
      <c r="U23" s="456">
        <v>0</v>
      </c>
      <c r="X23" s="493"/>
      <c r="Y23" s="494"/>
    </row>
    <row r="24" spans="1:25" x14ac:dyDescent="0.2">
      <c r="A24" s="19" t="s">
        <v>1</v>
      </c>
      <c r="B24" s="19"/>
      <c r="C24" s="60"/>
      <c r="D24" s="20">
        <f>SUM(D6:D23)</f>
        <v>5293471.4799999995</v>
      </c>
      <c r="E24" s="20"/>
      <c r="F24" s="20">
        <f t="shared" ref="F24:U24" si="2">SUM(F6:F23)</f>
        <v>110</v>
      </c>
      <c r="G24" s="20">
        <f t="shared" si="2"/>
        <v>6786982.4500000002</v>
      </c>
      <c r="H24" s="20">
        <f t="shared" si="2"/>
        <v>0</v>
      </c>
      <c r="I24" s="20">
        <f t="shared" si="2"/>
        <v>0</v>
      </c>
      <c r="J24" s="20">
        <f t="shared" si="2"/>
        <v>86</v>
      </c>
      <c r="K24" s="20">
        <f t="shared" si="2"/>
        <v>5393491.540000001</v>
      </c>
      <c r="L24" s="20">
        <f t="shared" si="2"/>
        <v>83</v>
      </c>
      <c r="M24" s="20">
        <f t="shared" si="2"/>
        <v>77</v>
      </c>
      <c r="N24" s="20">
        <f t="shared" si="2"/>
        <v>4596518.93</v>
      </c>
      <c r="O24" s="20">
        <f t="shared" si="2"/>
        <v>21</v>
      </c>
      <c r="P24" s="20">
        <f t="shared" si="2"/>
        <v>1121030.05</v>
      </c>
      <c r="Q24" s="20">
        <f t="shared" si="2"/>
        <v>796972.61000000068</v>
      </c>
      <c r="R24" s="20">
        <f t="shared" si="2"/>
        <v>58</v>
      </c>
      <c r="S24" s="20">
        <f t="shared" si="2"/>
        <v>1972465.52</v>
      </c>
      <c r="T24" s="20">
        <f t="shared" si="2"/>
        <v>45</v>
      </c>
      <c r="U24" s="20">
        <f t="shared" si="2"/>
        <v>1278872.8500000001</v>
      </c>
      <c r="W24" s="96"/>
    </row>
    <row r="25" spans="1:25" customFormat="1" ht="15" customHeight="1" x14ac:dyDescent="0.25">
      <c r="A25" s="219" t="s">
        <v>390</v>
      </c>
      <c r="B25" s="140"/>
      <c r="C25" s="140"/>
      <c r="D25" s="140"/>
      <c r="E25" s="140"/>
      <c r="F25" s="140"/>
      <c r="G25" s="140"/>
      <c r="H25" s="140"/>
      <c r="I25" s="140"/>
      <c r="J25" s="140"/>
      <c r="K25" s="140"/>
      <c r="L25" s="140"/>
      <c r="M25" s="140"/>
      <c r="N25" s="326"/>
      <c r="O25" s="140"/>
      <c r="P25" s="140"/>
      <c r="Q25" s="140"/>
      <c r="R25" s="140"/>
    </row>
    <row r="26" spans="1:25" s="23" customFormat="1" ht="23.45" customHeight="1" x14ac:dyDescent="0.25">
      <c r="A26" s="1148" t="s">
        <v>732</v>
      </c>
      <c r="B26" s="1148"/>
      <c r="C26" s="1148"/>
      <c r="D26" s="1148"/>
      <c r="E26" s="1148"/>
      <c r="F26" s="1148"/>
      <c r="G26" s="1148"/>
      <c r="H26" s="1148"/>
      <c r="I26" s="1148"/>
      <c r="J26" s="1148"/>
      <c r="K26" s="1148"/>
      <c r="L26" s="1148"/>
      <c r="M26" s="1148"/>
      <c r="N26" s="1148"/>
      <c r="O26" s="1148"/>
      <c r="P26" s="1148"/>
      <c r="Q26" s="1148"/>
      <c r="R26" s="1148"/>
      <c r="S26" s="1148"/>
      <c r="T26" s="1148"/>
      <c r="U26" s="1148"/>
      <c r="V26" s="90"/>
    </row>
    <row r="27" spans="1:25" x14ac:dyDescent="0.2">
      <c r="A27" s="1149" t="s">
        <v>658</v>
      </c>
      <c r="B27" s="1149"/>
      <c r="C27" s="1150"/>
      <c r="D27" s="1149"/>
      <c r="E27" s="1149"/>
      <c r="F27" s="1149"/>
      <c r="G27" s="1149"/>
      <c r="H27" s="1150"/>
      <c r="I27" s="1150"/>
      <c r="J27" s="1149"/>
      <c r="K27" s="1149"/>
      <c r="L27" s="1149"/>
      <c r="M27" s="1149"/>
      <c r="N27" s="1149"/>
      <c r="O27" s="1149"/>
      <c r="P27" s="1149"/>
      <c r="Q27" s="1149"/>
      <c r="R27" s="1149"/>
      <c r="S27" s="1149"/>
      <c r="T27" s="1149"/>
      <c r="U27" s="1149"/>
      <c r="V27" s="12"/>
      <c r="W27" s="96"/>
    </row>
    <row r="28" spans="1:25" ht="20.25" customHeight="1" x14ac:dyDescent="0.2">
      <c r="A28" s="966" t="s">
        <v>248</v>
      </c>
      <c r="B28" s="966" t="s">
        <v>156</v>
      </c>
      <c r="C28" s="966" t="s">
        <v>282</v>
      </c>
      <c r="D28" s="966" t="s">
        <v>157</v>
      </c>
      <c r="E28" s="966" t="s">
        <v>158</v>
      </c>
      <c r="F28" s="997" t="s">
        <v>337</v>
      </c>
      <c r="G28" s="998"/>
      <c r="H28" s="997" t="s">
        <v>277</v>
      </c>
      <c r="I28" s="998"/>
      <c r="J28" s="997" t="s">
        <v>159</v>
      </c>
      <c r="K28" s="998"/>
      <c r="L28" s="976" t="s">
        <v>717</v>
      </c>
      <c r="M28" s="977"/>
      <c r="N28" s="977"/>
      <c r="O28" s="977"/>
      <c r="P28" s="978"/>
      <c r="Q28" s="966" t="s">
        <v>250</v>
      </c>
      <c r="R28" s="969" t="s">
        <v>718</v>
      </c>
      <c r="S28" s="970"/>
      <c r="T28" s="969" t="s">
        <v>719</v>
      </c>
      <c r="U28" s="970"/>
      <c r="W28" s="96"/>
    </row>
    <row r="29" spans="1:25" ht="10.15" customHeight="1" x14ac:dyDescent="0.2">
      <c r="A29" s="967"/>
      <c r="B29" s="967"/>
      <c r="C29" s="967"/>
      <c r="D29" s="967"/>
      <c r="E29" s="967"/>
      <c r="F29" s="971"/>
      <c r="G29" s="972"/>
      <c r="H29" s="971"/>
      <c r="I29" s="972"/>
      <c r="J29" s="971"/>
      <c r="K29" s="972"/>
      <c r="L29" s="1143" t="s">
        <v>160</v>
      </c>
      <c r="M29" s="977"/>
      <c r="N29" s="978"/>
      <c r="O29" s="997" t="s">
        <v>631</v>
      </c>
      <c r="P29" s="998"/>
      <c r="Q29" s="967"/>
      <c r="R29" s="971"/>
      <c r="S29" s="972"/>
      <c r="T29" s="971"/>
      <c r="U29" s="972"/>
      <c r="W29" s="96"/>
    </row>
    <row r="30" spans="1:25" ht="21" customHeight="1" x14ac:dyDescent="0.2">
      <c r="A30" s="967"/>
      <c r="B30" s="967"/>
      <c r="C30" s="967"/>
      <c r="D30" s="967"/>
      <c r="E30" s="967"/>
      <c r="F30" s="973"/>
      <c r="G30" s="974"/>
      <c r="H30" s="973"/>
      <c r="I30" s="974"/>
      <c r="J30" s="973"/>
      <c r="K30" s="974"/>
      <c r="L30" s="979" t="s">
        <v>161</v>
      </c>
      <c r="M30" s="1143" t="s">
        <v>247</v>
      </c>
      <c r="N30" s="978"/>
      <c r="O30" s="973"/>
      <c r="P30" s="974"/>
      <c r="Q30" s="975"/>
      <c r="R30" s="973"/>
      <c r="S30" s="974"/>
      <c r="T30" s="973"/>
      <c r="U30" s="974"/>
      <c r="W30" s="96"/>
    </row>
    <row r="31" spans="1:25" ht="21" x14ac:dyDescent="0.2">
      <c r="A31" s="975"/>
      <c r="B31" s="975"/>
      <c r="C31" s="975"/>
      <c r="D31" s="975"/>
      <c r="E31" s="975"/>
      <c r="F31" s="127" t="s">
        <v>161</v>
      </c>
      <c r="G31" s="128" t="s">
        <v>162</v>
      </c>
      <c r="H31" s="15" t="s">
        <v>161</v>
      </c>
      <c r="I31" s="16" t="s">
        <v>162</v>
      </c>
      <c r="J31" s="127" t="s">
        <v>161</v>
      </c>
      <c r="K31" s="128" t="s">
        <v>162</v>
      </c>
      <c r="L31" s="1142"/>
      <c r="M31" s="160" t="s">
        <v>161</v>
      </c>
      <c r="N31" s="130" t="s">
        <v>162</v>
      </c>
      <c r="O31" s="160" t="s">
        <v>161</v>
      </c>
      <c r="P31" s="130" t="s">
        <v>162</v>
      </c>
      <c r="Q31" s="16" t="s">
        <v>162</v>
      </c>
      <c r="R31" s="15" t="s">
        <v>161</v>
      </c>
      <c r="S31" s="16" t="s">
        <v>162</v>
      </c>
      <c r="T31" s="78" t="s">
        <v>161</v>
      </c>
      <c r="U31" s="79" t="s">
        <v>162</v>
      </c>
      <c r="W31" s="96"/>
    </row>
    <row r="32" spans="1:25" ht="22.5" x14ac:dyDescent="0.2">
      <c r="A32" s="357" t="s">
        <v>541</v>
      </c>
      <c r="B32" s="452" t="s">
        <v>326</v>
      </c>
      <c r="C32" s="465">
        <v>49102</v>
      </c>
      <c r="D32" s="102">
        <v>330000</v>
      </c>
      <c r="E32" s="17">
        <v>44227</v>
      </c>
      <c r="F32" s="497">
        <v>5</v>
      </c>
      <c r="G32" s="366">
        <v>208137.5</v>
      </c>
      <c r="H32" s="456">
        <v>0</v>
      </c>
      <c r="I32" s="456">
        <v>0</v>
      </c>
      <c r="J32" s="497">
        <v>5</v>
      </c>
      <c r="K32" s="455">
        <v>203880.62</v>
      </c>
      <c r="L32" s="456">
        <v>5</v>
      </c>
      <c r="M32" s="456">
        <v>5</v>
      </c>
      <c r="N32" s="486">
        <v>203880.62</v>
      </c>
      <c r="O32" s="456">
        <v>0</v>
      </c>
      <c r="P32" s="456">
        <v>0</v>
      </c>
      <c r="Q32" s="455">
        <f t="shared" ref="Q32:Q40" si="3">K32-N32</f>
        <v>0</v>
      </c>
      <c r="R32" s="456">
        <v>8</v>
      </c>
      <c r="S32" s="456">
        <v>141196.09</v>
      </c>
      <c r="T32" s="456">
        <v>6</v>
      </c>
      <c r="U32" s="456">
        <v>101558.12</v>
      </c>
      <c r="V32" s="12"/>
    </row>
    <row r="33" spans="1:23" ht="22.5" x14ac:dyDescent="0.2">
      <c r="A33" s="357" t="s">
        <v>540</v>
      </c>
      <c r="B33" s="452" t="s">
        <v>327</v>
      </c>
      <c r="C33" s="465">
        <v>48962</v>
      </c>
      <c r="D33" s="102">
        <v>390000</v>
      </c>
      <c r="E33" s="17">
        <v>44227</v>
      </c>
      <c r="F33" s="456">
        <v>3</v>
      </c>
      <c r="G33" s="456">
        <v>288625</v>
      </c>
      <c r="H33" s="456">
        <v>0</v>
      </c>
      <c r="I33" s="456">
        <v>0</v>
      </c>
      <c r="J33" s="456">
        <v>3</v>
      </c>
      <c r="K33" s="455">
        <v>282020.77</v>
      </c>
      <c r="L33" s="456">
        <v>3</v>
      </c>
      <c r="M33" s="456">
        <v>3</v>
      </c>
      <c r="N33" s="486">
        <v>282020.77</v>
      </c>
      <c r="O33" s="456">
        <v>0</v>
      </c>
      <c r="P33" s="456">
        <v>0</v>
      </c>
      <c r="Q33" s="455">
        <f t="shared" si="3"/>
        <v>0</v>
      </c>
      <c r="R33" s="456">
        <v>3</v>
      </c>
      <c r="S33" s="456">
        <v>154785.66</v>
      </c>
      <c r="T33" s="456">
        <v>2</v>
      </c>
      <c r="U33" s="456">
        <v>24892.5</v>
      </c>
      <c r="V33" s="12"/>
    </row>
    <row r="34" spans="1:23" s="96" customFormat="1" ht="22.5" x14ac:dyDescent="0.2">
      <c r="A34" s="271" t="s">
        <v>540</v>
      </c>
      <c r="B34" s="247" t="s">
        <v>328</v>
      </c>
      <c r="C34" s="152">
        <v>49081</v>
      </c>
      <c r="D34" s="165">
        <v>1125738.79</v>
      </c>
      <c r="E34" s="2">
        <v>44227</v>
      </c>
      <c r="F34" s="366">
        <v>29</v>
      </c>
      <c r="G34" s="366">
        <v>1623252.75</v>
      </c>
      <c r="H34" s="366">
        <v>0</v>
      </c>
      <c r="I34" s="366">
        <v>0</v>
      </c>
      <c r="J34" s="366">
        <v>19</v>
      </c>
      <c r="K34" s="376">
        <v>1053975.78</v>
      </c>
      <c r="L34" s="366">
        <v>15</v>
      </c>
      <c r="M34" s="366">
        <v>15</v>
      </c>
      <c r="N34" s="390">
        <v>818412.97999999986</v>
      </c>
      <c r="O34" s="366">
        <v>10</v>
      </c>
      <c r="P34" s="366">
        <v>553893.75</v>
      </c>
      <c r="Q34" s="391">
        <f>K34-N34</f>
        <v>235562.80000000016</v>
      </c>
      <c r="R34" s="366">
        <v>10</v>
      </c>
      <c r="S34" s="366">
        <v>286930.46999999997</v>
      </c>
      <c r="T34" s="366">
        <v>7</v>
      </c>
      <c r="U34" s="366">
        <v>207698.52</v>
      </c>
    </row>
    <row r="35" spans="1:23" ht="33.75" x14ac:dyDescent="0.2">
      <c r="A35" s="357" t="s">
        <v>540</v>
      </c>
      <c r="B35" s="452" t="s">
        <v>329</v>
      </c>
      <c r="C35" s="465">
        <v>49101</v>
      </c>
      <c r="D35" s="102">
        <v>797004.93</v>
      </c>
      <c r="E35" s="17">
        <v>44227</v>
      </c>
      <c r="F35" s="456">
        <v>16</v>
      </c>
      <c r="G35" s="456">
        <v>971274.5</v>
      </c>
      <c r="H35" s="456">
        <v>0</v>
      </c>
      <c r="I35" s="456">
        <v>0</v>
      </c>
      <c r="J35" s="456">
        <v>11</v>
      </c>
      <c r="K35" s="486">
        <v>689017.71</v>
      </c>
      <c r="L35" s="456">
        <v>11</v>
      </c>
      <c r="M35" s="456">
        <v>11</v>
      </c>
      <c r="N35" s="486">
        <v>689017.71</v>
      </c>
      <c r="O35" s="456">
        <v>5</v>
      </c>
      <c r="P35" s="456">
        <v>244650</v>
      </c>
      <c r="Q35" s="455">
        <f t="shared" si="3"/>
        <v>0</v>
      </c>
      <c r="R35" s="456">
        <v>13</v>
      </c>
      <c r="S35" s="456">
        <v>443283.11</v>
      </c>
      <c r="T35" s="456">
        <v>8</v>
      </c>
      <c r="U35" s="456">
        <v>252425.73999999996</v>
      </c>
      <c r="V35" s="12"/>
    </row>
    <row r="36" spans="1:23" ht="22.5" x14ac:dyDescent="0.2">
      <c r="A36" s="357" t="s">
        <v>245</v>
      </c>
      <c r="B36" s="452" t="s">
        <v>389</v>
      </c>
      <c r="C36" s="465">
        <v>53361</v>
      </c>
      <c r="D36" s="102">
        <v>200000</v>
      </c>
      <c r="E36" s="17">
        <v>44397</v>
      </c>
      <c r="F36" s="456">
        <v>1</v>
      </c>
      <c r="G36" s="456">
        <v>200000</v>
      </c>
      <c r="H36" s="456">
        <v>0</v>
      </c>
      <c r="I36" s="456">
        <v>0</v>
      </c>
      <c r="J36" s="456">
        <v>1</v>
      </c>
      <c r="K36" s="486">
        <v>198970</v>
      </c>
      <c r="L36" s="456">
        <v>1</v>
      </c>
      <c r="M36" s="456">
        <v>1</v>
      </c>
      <c r="N36" s="486">
        <v>198970</v>
      </c>
      <c r="O36" s="456">
        <v>0</v>
      </c>
      <c r="P36" s="456">
        <v>0</v>
      </c>
      <c r="Q36" s="455">
        <f t="shared" si="3"/>
        <v>0</v>
      </c>
      <c r="R36" s="456">
        <v>0</v>
      </c>
      <c r="S36" s="456">
        <v>0</v>
      </c>
      <c r="T36" s="456">
        <v>0</v>
      </c>
      <c r="U36" s="456">
        <v>0</v>
      </c>
      <c r="V36" s="12"/>
    </row>
    <row r="37" spans="1:23" ht="20.45" customHeight="1" x14ac:dyDescent="0.2">
      <c r="A37" s="357" t="s">
        <v>242</v>
      </c>
      <c r="B37" s="452" t="s">
        <v>388</v>
      </c>
      <c r="C37" s="465">
        <v>52501</v>
      </c>
      <c r="D37" s="102">
        <v>222750</v>
      </c>
      <c r="E37" s="17">
        <v>44397</v>
      </c>
      <c r="F37" s="456">
        <v>20</v>
      </c>
      <c r="G37" s="456">
        <v>815827.8</v>
      </c>
      <c r="H37" s="456">
        <v>1</v>
      </c>
      <c r="I37" s="456">
        <v>40000</v>
      </c>
      <c r="J37" s="456">
        <v>8</v>
      </c>
      <c r="K37" s="486">
        <v>320000</v>
      </c>
      <c r="L37" s="456">
        <v>8</v>
      </c>
      <c r="M37" s="456">
        <v>8</v>
      </c>
      <c r="N37" s="486">
        <v>320000</v>
      </c>
      <c r="O37" s="456">
        <v>11</v>
      </c>
      <c r="P37" s="456">
        <v>445465</v>
      </c>
      <c r="Q37" s="455">
        <f t="shared" si="3"/>
        <v>0</v>
      </c>
      <c r="R37" s="456">
        <v>4</v>
      </c>
      <c r="S37" s="456">
        <v>112000</v>
      </c>
      <c r="T37" s="456">
        <v>3</v>
      </c>
      <c r="U37" s="456">
        <v>84000</v>
      </c>
      <c r="V37" s="12"/>
    </row>
    <row r="38" spans="1:23" ht="20.45" customHeight="1" x14ac:dyDescent="0.2">
      <c r="A38" s="357" t="s">
        <v>275</v>
      </c>
      <c r="B38" s="452" t="s">
        <v>503</v>
      </c>
      <c r="C38" s="487">
        <v>61903</v>
      </c>
      <c r="D38" s="102">
        <v>330000</v>
      </c>
      <c r="E38" s="17">
        <v>44683</v>
      </c>
      <c r="F38" s="456">
        <v>4</v>
      </c>
      <c r="G38" s="456">
        <v>155746</v>
      </c>
      <c r="H38" s="456">
        <v>0</v>
      </c>
      <c r="I38" s="456">
        <v>0</v>
      </c>
      <c r="J38" s="456">
        <v>3</v>
      </c>
      <c r="K38" s="456">
        <f>155746-P38</f>
        <v>144946</v>
      </c>
      <c r="L38" s="456">
        <v>3</v>
      </c>
      <c r="M38" s="456">
        <v>3</v>
      </c>
      <c r="N38" s="486">
        <v>144946</v>
      </c>
      <c r="O38" s="456">
        <v>1</v>
      </c>
      <c r="P38" s="456">
        <v>10800</v>
      </c>
      <c r="Q38" s="455">
        <f t="shared" si="3"/>
        <v>0</v>
      </c>
      <c r="R38" s="456">
        <v>1</v>
      </c>
      <c r="S38" s="456">
        <v>16980</v>
      </c>
      <c r="T38" s="456">
        <v>0</v>
      </c>
      <c r="U38" s="456">
        <v>0</v>
      </c>
      <c r="V38" s="12"/>
    </row>
    <row r="39" spans="1:23" ht="20.45" customHeight="1" x14ac:dyDescent="0.2">
      <c r="A39" s="495" t="s">
        <v>151</v>
      </c>
      <c r="B39" s="469" t="s">
        <v>668</v>
      </c>
      <c r="C39" s="498">
        <v>82942</v>
      </c>
      <c r="D39" s="466">
        <v>100000</v>
      </c>
      <c r="E39" s="499">
        <v>45548</v>
      </c>
      <c r="F39" s="456">
        <v>1</v>
      </c>
      <c r="G39" s="456">
        <v>100000</v>
      </c>
      <c r="H39" s="456">
        <v>0</v>
      </c>
      <c r="I39" s="456">
        <v>0</v>
      </c>
      <c r="J39" s="456">
        <v>1</v>
      </c>
      <c r="K39" s="456">
        <v>100000</v>
      </c>
      <c r="L39" s="456">
        <v>0</v>
      </c>
      <c r="M39" s="456">
        <v>0</v>
      </c>
      <c r="N39" s="456">
        <v>0</v>
      </c>
      <c r="O39" s="456">
        <v>0</v>
      </c>
      <c r="P39" s="456">
        <v>0</v>
      </c>
      <c r="Q39" s="455">
        <f t="shared" si="3"/>
        <v>100000</v>
      </c>
      <c r="R39" s="456">
        <v>0</v>
      </c>
      <c r="S39" s="456">
        <v>0</v>
      </c>
      <c r="T39" s="456">
        <v>0</v>
      </c>
      <c r="U39" s="456">
        <v>0</v>
      </c>
      <c r="V39" s="12"/>
    </row>
    <row r="40" spans="1:23" ht="33.75" x14ac:dyDescent="0.2">
      <c r="A40" s="495" t="s">
        <v>245</v>
      </c>
      <c r="B40" s="469" t="s">
        <v>669</v>
      </c>
      <c r="C40" s="498">
        <v>83102</v>
      </c>
      <c r="D40" s="466">
        <v>1000000</v>
      </c>
      <c r="E40" s="499">
        <v>45544</v>
      </c>
      <c r="F40" s="456">
        <v>11</v>
      </c>
      <c r="G40" s="456">
        <v>968300.1</v>
      </c>
      <c r="H40" s="456">
        <v>0</v>
      </c>
      <c r="I40" s="456">
        <v>0</v>
      </c>
      <c r="J40" s="456">
        <v>11</v>
      </c>
      <c r="K40" s="456">
        <v>968300.1</v>
      </c>
      <c r="L40" s="456">
        <v>0</v>
      </c>
      <c r="M40" s="456">
        <v>0</v>
      </c>
      <c r="N40" s="456">
        <v>0</v>
      </c>
      <c r="O40" s="456">
        <v>0</v>
      </c>
      <c r="P40" s="456">
        <v>0</v>
      </c>
      <c r="Q40" s="455">
        <f t="shared" si="3"/>
        <v>968300.1</v>
      </c>
      <c r="R40" s="456">
        <v>0</v>
      </c>
      <c r="S40" s="456">
        <v>0</v>
      </c>
      <c r="T40" s="456">
        <v>0</v>
      </c>
      <c r="U40" s="456">
        <v>0</v>
      </c>
      <c r="V40" s="12"/>
    </row>
    <row r="41" spans="1:23" x14ac:dyDescent="0.2">
      <c r="A41" s="19" t="s">
        <v>1</v>
      </c>
      <c r="B41" s="19"/>
      <c r="C41" s="60"/>
      <c r="D41" s="20">
        <f>SUM(D32:D40)</f>
        <v>4495493.7200000007</v>
      </c>
      <c r="E41" s="20"/>
      <c r="F41" s="20">
        <f t="shared" ref="F41:U41" si="4">SUM(F32:F40)</f>
        <v>90</v>
      </c>
      <c r="G41" s="20">
        <f t="shared" si="4"/>
        <v>5331163.6499999994</v>
      </c>
      <c r="H41" s="20">
        <f t="shared" si="4"/>
        <v>1</v>
      </c>
      <c r="I41" s="20">
        <f t="shared" si="4"/>
        <v>40000</v>
      </c>
      <c r="J41" s="20">
        <f t="shared" si="4"/>
        <v>62</v>
      </c>
      <c r="K41" s="20">
        <f t="shared" si="4"/>
        <v>3961110.98</v>
      </c>
      <c r="L41" s="20">
        <f t="shared" si="4"/>
        <v>46</v>
      </c>
      <c r="M41" s="20">
        <f t="shared" si="4"/>
        <v>46</v>
      </c>
      <c r="N41" s="20">
        <f t="shared" si="4"/>
        <v>2657248.08</v>
      </c>
      <c r="O41" s="20">
        <f t="shared" si="4"/>
        <v>27</v>
      </c>
      <c r="P41" s="20">
        <f t="shared" si="4"/>
        <v>1254808.75</v>
      </c>
      <c r="Q41" s="20">
        <f t="shared" si="4"/>
        <v>1303862.9000000001</v>
      </c>
      <c r="R41" s="20">
        <f t="shared" si="4"/>
        <v>39</v>
      </c>
      <c r="S41" s="20">
        <f t="shared" si="4"/>
        <v>1155175.33</v>
      </c>
      <c r="T41" s="530">
        <f t="shared" si="4"/>
        <v>26</v>
      </c>
      <c r="U41" s="530">
        <f t="shared" si="4"/>
        <v>670574.88</v>
      </c>
      <c r="V41" s="12"/>
      <c r="W41" s="96"/>
    </row>
    <row r="42" spans="1:23" customFormat="1" ht="15" customHeight="1" x14ac:dyDescent="0.25">
      <c r="A42" s="219" t="s">
        <v>390</v>
      </c>
      <c r="B42" s="140"/>
      <c r="C42" s="140"/>
      <c r="D42" s="140"/>
      <c r="E42" s="140"/>
      <c r="F42" s="140"/>
      <c r="G42" s="140"/>
      <c r="H42" s="140"/>
      <c r="I42" s="140"/>
      <c r="J42" s="140"/>
      <c r="K42" s="140"/>
      <c r="L42" s="140"/>
      <c r="M42" s="140"/>
      <c r="N42" s="326"/>
      <c r="O42" s="140"/>
      <c r="P42" s="140"/>
      <c r="Q42" s="140"/>
      <c r="R42" s="140"/>
    </row>
    <row r="43" spans="1:23" s="23" customFormat="1" ht="22.9" customHeight="1" x14ac:dyDescent="0.25">
      <c r="A43" s="1148" t="s">
        <v>732</v>
      </c>
      <c r="B43" s="1148"/>
      <c r="C43" s="1148"/>
      <c r="D43" s="1148"/>
      <c r="E43" s="1148"/>
      <c r="F43" s="1148"/>
      <c r="G43" s="1148"/>
      <c r="H43" s="1148"/>
      <c r="I43" s="1148"/>
      <c r="J43" s="1148"/>
      <c r="K43" s="1148"/>
      <c r="L43" s="1148"/>
      <c r="M43" s="1148"/>
      <c r="N43" s="1148"/>
      <c r="O43" s="1148"/>
      <c r="P43" s="1148"/>
      <c r="Q43" s="1148"/>
      <c r="R43" s="1148"/>
      <c r="S43" s="1148"/>
      <c r="T43" s="1148"/>
      <c r="U43" s="1148"/>
      <c r="V43" s="90"/>
    </row>
  </sheetData>
  <mergeCells count="36">
    <mergeCell ref="A1:U1"/>
    <mergeCell ref="A2:A5"/>
    <mergeCell ref="B2:B5"/>
    <mergeCell ref="D2:D5"/>
    <mergeCell ref="E2:E5"/>
    <mergeCell ref="F2:G4"/>
    <mergeCell ref="J2:K4"/>
    <mergeCell ref="L2:P2"/>
    <mergeCell ref="Q2:Q4"/>
    <mergeCell ref="R2:S4"/>
    <mergeCell ref="T2:U4"/>
    <mergeCell ref="L3:N3"/>
    <mergeCell ref="A43:U43"/>
    <mergeCell ref="E28:E31"/>
    <mergeCell ref="F28:G30"/>
    <mergeCell ref="J28:K30"/>
    <mergeCell ref="L28:P28"/>
    <mergeCell ref="Q28:Q30"/>
    <mergeCell ref="L29:N29"/>
    <mergeCell ref="O29:P30"/>
    <mergeCell ref="L30:L31"/>
    <mergeCell ref="M30:N30"/>
    <mergeCell ref="A28:A31"/>
    <mergeCell ref="B28:B31"/>
    <mergeCell ref="D28:D31"/>
    <mergeCell ref="C28:C31"/>
    <mergeCell ref="R28:S30"/>
    <mergeCell ref="T28:U30"/>
    <mergeCell ref="H28:I30"/>
    <mergeCell ref="C2:C5"/>
    <mergeCell ref="H2:I4"/>
    <mergeCell ref="O3:P4"/>
    <mergeCell ref="M4:N4"/>
    <mergeCell ref="L4:L5"/>
    <mergeCell ref="A26:U26"/>
    <mergeCell ref="A27:U27"/>
  </mergeCells>
  <printOptions horizontalCentered="1"/>
  <pageMargins left="0.51181102362204722" right="0.51181102362204722" top="0.74803149606299213" bottom="0.74803149606299213" header="0.31496062992125984" footer="0.31496062992125984"/>
  <pageSetup paperSize="9" scale="75" orientation="landscape" r:id="rId1"/>
  <rowBreaks count="1" manualBreakCount="1">
    <brk id="26" max="2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DA8D-3041-48BB-8275-00B9C2A37D9C}">
  <dimension ref="A1:H11"/>
  <sheetViews>
    <sheetView view="pageBreakPreview" zoomScale="130" zoomScaleNormal="100" zoomScaleSheetLayoutView="130" workbookViewId="0">
      <selection activeCell="G7" sqref="G7"/>
    </sheetView>
  </sheetViews>
  <sheetFormatPr defaultRowHeight="15" x14ac:dyDescent="0.25"/>
  <cols>
    <col min="1" max="1" width="10.85546875" customWidth="1"/>
    <col min="2" max="2" width="30.7109375" customWidth="1"/>
    <col min="3" max="4" width="13.7109375" customWidth="1"/>
    <col min="5" max="5" width="14" customWidth="1"/>
    <col min="6" max="6" width="10.42578125" customWidth="1"/>
    <col min="7" max="7" width="11.85546875" customWidth="1"/>
    <col min="8" max="8" width="9.85546875" customWidth="1"/>
  </cols>
  <sheetData>
    <row r="1" spans="1:8" x14ac:dyDescent="0.25">
      <c r="A1" s="796" t="s">
        <v>713</v>
      </c>
      <c r="B1" s="796"/>
      <c r="C1" s="796"/>
      <c r="D1" s="796"/>
      <c r="E1" s="796"/>
      <c r="F1" s="796"/>
      <c r="G1" s="796"/>
      <c r="H1" s="796"/>
    </row>
    <row r="2" spans="1:8" x14ac:dyDescent="0.25">
      <c r="A2" s="772" t="s">
        <v>115</v>
      </c>
      <c r="B2" s="772" t="s">
        <v>0</v>
      </c>
      <c r="C2" s="880" t="s">
        <v>620</v>
      </c>
      <c r="D2" s="881"/>
      <c r="E2" s="881"/>
      <c r="F2" s="881"/>
      <c r="G2" s="881"/>
      <c r="H2" s="784"/>
    </row>
    <row r="3" spans="1:8" ht="39" customHeight="1" x14ac:dyDescent="0.25">
      <c r="A3" s="773"/>
      <c r="B3" s="774"/>
      <c r="C3" s="262" t="s">
        <v>504</v>
      </c>
      <c r="D3" s="263" t="s">
        <v>510</v>
      </c>
      <c r="E3" s="263" t="s">
        <v>284</v>
      </c>
      <c r="F3" s="262" t="s">
        <v>505</v>
      </c>
      <c r="G3" s="262" t="s">
        <v>511</v>
      </c>
      <c r="H3" s="261" t="s">
        <v>506</v>
      </c>
    </row>
    <row r="4" spans="1:8" ht="12.75" customHeight="1" x14ac:dyDescent="0.25">
      <c r="A4" s="774"/>
      <c r="B4" s="204"/>
      <c r="C4" s="167" t="s">
        <v>305</v>
      </c>
      <c r="D4" s="167" t="s">
        <v>306</v>
      </c>
      <c r="E4" s="167" t="s">
        <v>307</v>
      </c>
      <c r="F4" s="167" t="s">
        <v>507</v>
      </c>
      <c r="G4" s="167" t="s">
        <v>309</v>
      </c>
      <c r="H4" s="204" t="s">
        <v>508</v>
      </c>
    </row>
    <row r="5" spans="1:8" ht="22.5" x14ac:dyDescent="0.25">
      <c r="A5" s="95" t="s">
        <v>134</v>
      </c>
      <c r="B5" s="64" t="s">
        <v>10</v>
      </c>
      <c r="C5" s="103">
        <v>6227346.3799999999</v>
      </c>
      <c r="D5" s="103">
        <v>6227346.3799999999</v>
      </c>
      <c r="E5" s="256">
        <f>'M04'!M9</f>
        <v>4934947.59</v>
      </c>
      <c r="F5" s="540">
        <f>E5/C5</f>
        <v>0.79246396279630105</v>
      </c>
      <c r="G5" s="256">
        <f>'M04'!U9</f>
        <v>1956257.6</v>
      </c>
      <c r="H5" s="266">
        <f>G5/C5</f>
        <v>0.31413984073261075</v>
      </c>
    </row>
    <row r="6" spans="1:8" ht="22.5" x14ac:dyDescent="0.25">
      <c r="A6" s="95" t="s">
        <v>139</v>
      </c>
      <c r="B6" s="64" t="s">
        <v>18</v>
      </c>
      <c r="C6" s="103">
        <v>28000000</v>
      </c>
      <c r="D6" s="103">
        <v>28000000</v>
      </c>
      <c r="E6" s="100">
        <f>'M06'!M8</f>
        <v>26460000</v>
      </c>
      <c r="F6" s="540">
        <f>E6/C6</f>
        <v>0.94499999999999995</v>
      </c>
      <c r="G6" s="100">
        <f>'M06'!U8</f>
        <v>18511474.899999999</v>
      </c>
      <c r="H6" s="266">
        <f>G6/C6</f>
        <v>0.66112410357142848</v>
      </c>
    </row>
    <row r="7" spans="1:8" x14ac:dyDescent="0.25">
      <c r="A7" s="95" t="s">
        <v>117</v>
      </c>
      <c r="B7" s="66" t="s">
        <v>36</v>
      </c>
      <c r="C7" s="236">
        <v>28004192.489999998</v>
      </c>
      <c r="D7" s="236">
        <v>28004192.489999998</v>
      </c>
      <c r="E7" s="236">
        <v>28004192.489999998</v>
      </c>
      <c r="F7" s="541">
        <f>E7/C7</f>
        <v>1</v>
      </c>
      <c r="G7" s="754">
        <v>27526622.860000003</v>
      </c>
      <c r="H7" s="294">
        <f>G7/C7</f>
        <v>0.98294649523743527</v>
      </c>
    </row>
    <row r="8" spans="1:8" x14ac:dyDescent="0.25">
      <c r="A8" s="155" t="s">
        <v>128</v>
      </c>
      <c r="B8" s="156"/>
      <c r="C8" s="289">
        <f>SUM(C5:C7)</f>
        <v>62231538.870000005</v>
      </c>
      <c r="D8" s="289">
        <f>SUM(D5:D7)</f>
        <v>62231538.870000005</v>
      </c>
      <c r="E8" s="238">
        <f>SUM(E5:E7)</f>
        <v>59399140.079999998</v>
      </c>
      <c r="F8" s="55">
        <f>E8/C8</f>
        <v>0.95448612003767397</v>
      </c>
      <c r="G8" s="289">
        <f>SUM(G5:G7)</f>
        <v>47994355.359999999</v>
      </c>
      <c r="H8" s="267">
        <f>G8/C8</f>
        <v>0.77122237745492528</v>
      </c>
    </row>
    <row r="9" spans="1:8" ht="22.15" customHeight="1" x14ac:dyDescent="0.25">
      <c r="A9" s="797" t="s">
        <v>586</v>
      </c>
      <c r="B9" s="797"/>
      <c r="C9" s="797"/>
      <c r="D9" s="797"/>
      <c r="E9" s="797"/>
      <c r="F9" s="797"/>
      <c r="G9" s="797"/>
      <c r="H9" s="797"/>
    </row>
    <row r="10" spans="1:8" ht="22.15" customHeight="1" x14ac:dyDescent="0.25">
      <c r="A10" s="799" t="s">
        <v>708</v>
      </c>
      <c r="B10" s="799"/>
      <c r="C10" s="799"/>
      <c r="D10" s="799"/>
      <c r="E10" s="799"/>
      <c r="F10" s="799"/>
      <c r="G10" s="799"/>
      <c r="H10" s="799"/>
    </row>
    <row r="11" spans="1:8" ht="22.15" customHeight="1" x14ac:dyDescent="0.25">
      <c r="A11" s="826" t="s">
        <v>737</v>
      </c>
      <c r="B11" s="826"/>
      <c r="C11" s="826"/>
      <c r="D11" s="826"/>
      <c r="E11" s="826"/>
      <c r="F11" s="826"/>
      <c r="G11" s="826"/>
      <c r="H11" s="826"/>
    </row>
  </sheetData>
  <mergeCells count="7">
    <mergeCell ref="A11:H11"/>
    <mergeCell ref="A1:H1"/>
    <mergeCell ref="A2:A4"/>
    <mergeCell ref="B2:B3"/>
    <mergeCell ref="C2:H2"/>
    <mergeCell ref="A9:H9"/>
    <mergeCell ref="A10:H10"/>
  </mergeCell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W42"/>
  <sheetViews>
    <sheetView view="pageBreakPreview" topLeftCell="C31" zoomScaleNormal="100" zoomScaleSheetLayoutView="100" workbookViewId="0">
      <selection activeCell="T32" sqref="T32:U32"/>
    </sheetView>
  </sheetViews>
  <sheetFormatPr defaultColWidth="8.7109375" defaultRowHeight="11.25" x14ac:dyDescent="0.2"/>
  <cols>
    <col min="1" max="1" width="6.5703125" style="12" customWidth="1"/>
    <col min="2" max="2" width="27" style="12" customWidth="1"/>
    <col min="3" max="3" width="5.85546875" style="12" customWidth="1"/>
    <col min="4" max="4" width="8.28515625" style="12" customWidth="1"/>
    <col min="5" max="5" width="9.85546875" style="12" customWidth="1"/>
    <col min="6" max="6" width="3.28515625" style="12" bestFit="1" customWidth="1"/>
    <col min="7" max="7" width="8.5703125" style="12" customWidth="1"/>
    <col min="8" max="8" width="3.140625" style="12" bestFit="1" customWidth="1"/>
    <col min="9" max="9" width="7.28515625" style="12" customWidth="1"/>
    <col min="10" max="10" width="3.28515625" style="12" bestFit="1" customWidth="1"/>
    <col min="11" max="11" width="7.85546875" style="12" customWidth="1"/>
    <col min="12" max="12" width="3.140625" style="12" bestFit="1" customWidth="1"/>
    <col min="13" max="13" width="3.28515625" style="12" customWidth="1"/>
    <col min="14" max="14" width="7.42578125" style="12" customWidth="1"/>
    <col min="15" max="15" width="3.85546875" style="12" customWidth="1"/>
    <col min="16" max="16" width="7.5703125" style="12" customWidth="1"/>
    <col min="17" max="17" width="8.5703125" style="12" customWidth="1"/>
    <col min="18" max="18" width="3.28515625" style="12" bestFit="1" customWidth="1"/>
    <col min="19" max="19" width="8.5703125" style="12" customWidth="1"/>
    <col min="20" max="20" width="3.28515625" style="12" bestFit="1" customWidth="1"/>
    <col min="21" max="21" width="8.28515625" style="12" customWidth="1"/>
    <col min="22" max="22" width="14" style="96" customWidth="1"/>
    <col min="23" max="16384" width="8.7109375" style="12"/>
  </cols>
  <sheetData>
    <row r="1" spans="1:23" ht="22.15" customHeight="1" x14ac:dyDescent="0.2">
      <c r="B1" s="1149" t="s">
        <v>659</v>
      </c>
      <c r="C1" s="1150"/>
      <c r="D1" s="1149"/>
      <c r="E1" s="1149"/>
      <c r="F1" s="1149"/>
      <c r="G1" s="1149"/>
      <c r="H1" s="1150"/>
      <c r="I1" s="1150"/>
      <c r="J1" s="1149"/>
      <c r="K1" s="1149"/>
      <c r="L1" s="1149"/>
      <c r="M1" s="1149"/>
      <c r="N1" s="1149"/>
      <c r="O1" s="1149"/>
      <c r="P1" s="1149"/>
      <c r="Q1" s="1149"/>
      <c r="R1" s="1149"/>
      <c r="S1" s="1149"/>
      <c r="T1" s="1149"/>
      <c r="U1" s="1149"/>
    </row>
    <row r="2" spans="1:23"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W2" s="96"/>
    </row>
    <row r="3" spans="1:23"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W3" s="96"/>
    </row>
    <row r="4" spans="1:23"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W4" s="96"/>
    </row>
    <row r="5" spans="1:23" ht="21"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W5" s="96"/>
    </row>
    <row r="6" spans="1:23" s="96" customFormat="1" ht="33.75" x14ac:dyDescent="0.2">
      <c r="A6" s="271" t="s">
        <v>238</v>
      </c>
      <c r="B6" s="247" t="s">
        <v>377</v>
      </c>
      <c r="C6" s="152">
        <v>51708</v>
      </c>
      <c r="D6" s="451">
        <v>820000</v>
      </c>
      <c r="E6" s="187">
        <v>44575</v>
      </c>
      <c r="F6" s="366">
        <v>6</v>
      </c>
      <c r="G6" s="366">
        <v>809002.14</v>
      </c>
      <c r="H6" s="366">
        <v>0</v>
      </c>
      <c r="I6" s="366">
        <v>0</v>
      </c>
      <c r="J6" s="366">
        <v>4</v>
      </c>
      <c r="K6" s="448">
        <v>655472.37</v>
      </c>
      <c r="L6" s="366">
        <v>4</v>
      </c>
      <c r="M6" s="366">
        <v>4</v>
      </c>
      <c r="N6" s="366">
        <v>655472.37</v>
      </c>
      <c r="O6" s="366">
        <v>2</v>
      </c>
      <c r="P6" s="366">
        <v>109002.14</v>
      </c>
      <c r="Q6" s="391">
        <f>K6-N6</f>
        <v>0</v>
      </c>
      <c r="R6" s="366">
        <v>6</v>
      </c>
      <c r="S6" s="366">
        <v>638876.40999999992</v>
      </c>
      <c r="T6" s="366">
        <v>2</v>
      </c>
      <c r="U6" s="366">
        <v>194455.43</v>
      </c>
    </row>
    <row r="7" spans="1:23" s="96" customFormat="1" ht="52.5" customHeight="1" x14ac:dyDescent="0.2">
      <c r="A7" s="271" t="s">
        <v>275</v>
      </c>
      <c r="B7" s="247" t="s">
        <v>421</v>
      </c>
      <c r="C7" s="152">
        <v>60521</v>
      </c>
      <c r="D7" s="451">
        <v>3600</v>
      </c>
      <c r="E7" s="187">
        <v>44592</v>
      </c>
      <c r="F7" s="366">
        <v>1</v>
      </c>
      <c r="G7" s="366">
        <v>3600</v>
      </c>
      <c r="H7" s="366">
        <v>0</v>
      </c>
      <c r="I7" s="366">
        <v>0</v>
      </c>
      <c r="J7" s="366">
        <v>1</v>
      </c>
      <c r="K7" s="366">
        <v>3600</v>
      </c>
      <c r="L7" s="366">
        <v>1</v>
      </c>
      <c r="M7" s="366">
        <v>1</v>
      </c>
      <c r="N7" s="366">
        <v>3600</v>
      </c>
      <c r="O7" s="366">
        <v>0</v>
      </c>
      <c r="P7" s="366">
        <v>0</v>
      </c>
      <c r="Q7" s="391">
        <f>K7-N7</f>
        <v>0</v>
      </c>
      <c r="R7" s="366">
        <v>1</v>
      </c>
      <c r="S7" s="366">
        <v>3600</v>
      </c>
      <c r="T7" s="366">
        <v>1</v>
      </c>
      <c r="U7" s="366">
        <v>3600</v>
      </c>
    </row>
    <row r="8" spans="1:23" s="96" customFormat="1" ht="22.5" x14ac:dyDescent="0.2">
      <c r="A8" s="271" t="s">
        <v>242</v>
      </c>
      <c r="B8" s="247" t="s">
        <v>466</v>
      </c>
      <c r="C8" s="152">
        <v>60645</v>
      </c>
      <c r="D8" s="451">
        <v>440000</v>
      </c>
      <c r="E8" s="187">
        <v>44592</v>
      </c>
      <c r="F8" s="366">
        <v>9</v>
      </c>
      <c r="G8" s="366">
        <v>439507.49</v>
      </c>
      <c r="H8" s="366">
        <v>1</v>
      </c>
      <c r="I8" s="366">
        <v>50000</v>
      </c>
      <c r="J8" s="366">
        <v>8</v>
      </c>
      <c r="K8" s="366">
        <f>G8-I8</f>
        <v>389507.49</v>
      </c>
      <c r="L8" s="366">
        <v>8</v>
      </c>
      <c r="M8" s="366">
        <v>8</v>
      </c>
      <c r="N8" s="366">
        <v>389507.49</v>
      </c>
      <c r="O8" s="366">
        <v>0</v>
      </c>
      <c r="P8" s="366">
        <v>0</v>
      </c>
      <c r="Q8" s="391">
        <f>K8-N8</f>
        <v>0</v>
      </c>
      <c r="R8" s="366">
        <v>15</v>
      </c>
      <c r="S8" s="366">
        <v>374507.49</v>
      </c>
      <c r="T8" s="366">
        <v>15</v>
      </c>
      <c r="U8" s="366">
        <v>374507.49</v>
      </c>
    </row>
    <row r="9" spans="1:23" s="96" customFormat="1" ht="56.25" x14ac:dyDescent="0.2">
      <c r="A9" s="271" t="s">
        <v>242</v>
      </c>
      <c r="B9" s="247" t="s">
        <v>421</v>
      </c>
      <c r="C9" s="152">
        <v>60721</v>
      </c>
      <c r="D9" s="451">
        <v>100000</v>
      </c>
      <c r="E9" s="187">
        <v>44592</v>
      </c>
      <c r="F9" s="366">
        <v>2</v>
      </c>
      <c r="G9" s="366">
        <v>100000</v>
      </c>
      <c r="H9" s="366">
        <v>0</v>
      </c>
      <c r="I9" s="366">
        <v>0</v>
      </c>
      <c r="J9" s="366">
        <v>2</v>
      </c>
      <c r="K9" s="366">
        <v>100000</v>
      </c>
      <c r="L9" s="366">
        <v>2</v>
      </c>
      <c r="M9" s="366">
        <v>2</v>
      </c>
      <c r="N9" s="366">
        <v>100000</v>
      </c>
      <c r="O9" s="366">
        <v>0</v>
      </c>
      <c r="P9" s="366">
        <v>0</v>
      </c>
      <c r="Q9" s="391">
        <f>K9-N9</f>
        <v>0</v>
      </c>
      <c r="R9" s="366">
        <v>4</v>
      </c>
      <c r="S9" s="366">
        <v>100000</v>
      </c>
      <c r="T9" s="366">
        <v>4</v>
      </c>
      <c r="U9" s="366">
        <v>100000</v>
      </c>
    </row>
    <row r="10" spans="1:23" s="96" customFormat="1" ht="22.5" x14ac:dyDescent="0.2">
      <c r="A10" s="271" t="s">
        <v>540</v>
      </c>
      <c r="B10" s="247" t="s">
        <v>479</v>
      </c>
      <c r="C10" s="152">
        <v>66601</v>
      </c>
      <c r="D10" s="451">
        <v>75000</v>
      </c>
      <c r="E10" s="272">
        <v>44827</v>
      </c>
      <c r="F10" s="366">
        <v>3</v>
      </c>
      <c r="G10" s="366">
        <v>70244.800000000003</v>
      </c>
      <c r="H10" s="366">
        <v>1</v>
      </c>
      <c r="I10" s="366">
        <v>22131.14</v>
      </c>
      <c r="J10" s="366">
        <v>1</v>
      </c>
      <c r="K10" s="366">
        <v>21113.66</v>
      </c>
      <c r="L10" s="366">
        <v>1</v>
      </c>
      <c r="M10" s="366">
        <v>1</v>
      </c>
      <c r="N10" s="366">
        <v>21113.66</v>
      </c>
      <c r="O10" s="366">
        <v>1</v>
      </c>
      <c r="P10" s="366">
        <v>27000</v>
      </c>
      <c r="Q10" s="391">
        <f t="shared" ref="Q10:Q18" si="0">K10-N10</f>
        <v>0</v>
      </c>
      <c r="R10" s="366">
        <v>2</v>
      </c>
      <c r="S10" s="366">
        <v>21113.66</v>
      </c>
      <c r="T10" s="366">
        <v>2</v>
      </c>
      <c r="U10" s="366">
        <v>21113.66</v>
      </c>
    </row>
    <row r="11" spans="1:23" s="96" customFormat="1" ht="19.899999999999999" customHeight="1" x14ac:dyDescent="0.2">
      <c r="A11" s="271" t="s">
        <v>245</v>
      </c>
      <c r="B11" s="247" t="s">
        <v>430</v>
      </c>
      <c r="C11" s="152">
        <v>66541</v>
      </c>
      <c r="D11" s="451">
        <v>735000</v>
      </c>
      <c r="E11" s="272">
        <v>44848</v>
      </c>
      <c r="F11" s="366">
        <v>4</v>
      </c>
      <c r="G11" s="366">
        <v>735000</v>
      </c>
      <c r="H11" s="366">
        <v>0</v>
      </c>
      <c r="I11" s="366">
        <v>0</v>
      </c>
      <c r="J11" s="366">
        <v>3</v>
      </c>
      <c r="K11" s="366">
        <v>482375.17000000004</v>
      </c>
      <c r="L11" s="366">
        <v>3</v>
      </c>
      <c r="M11" s="366">
        <v>3</v>
      </c>
      <c r="N11" s="366">
        <v>482375.17000000004</v>
      </c>
      <c r="O11" s="366">
        <v>1</v>
      </c>
      <c r="P11" s="366">
        <v>200000</v>
      </c>
      <c r="Q11" s="391">
        <f t="shared" si="0"/>
        <v>0</v>
      </c>
      <c r="R11" s="366">
        <v>2</v>
      </c>
      <c r="S11" s="366">
        <v>197303.34999999998</v>
      </c>
      <c r="T11" s="366">
        <v>1</v>
      </c>
      <c r="U11" s="366">
        <v>99222.12</v>
      </c>
    </row>
    <row r="12" spans="1:23" s="96" customFormat="1" ht="48" x14ac:dyDescent="0.2">
      <c r="A12" s="271" t="s">
        <v>540</v>
      </c>
      <c r="B12" s="191" t="s">
        <v>577</v>
      </c>
      <c r="C12" s="152">
        <v>68062</v>
      </c>
      <c r="D12" s="451">
        <v>660000</v>
      </c>
      <c r="E12" s="153">
        <v>44937</v>
      </c>
      <c r="F12" s="366">
        <v>18</v>
      </c>
      <c r="G12" s="366">
        <v>616750.68000000005</v>
      </c>
      <c r="H12" s="366">
        <v>1</v>
      </c>
      <c r="I12" s="366">
        <v>39646.300000000003</v>
      </c>
      <c r="J12" s="366">
        <v>10</v>
      </c>
      <c r="K12" s="366">
        <f>N12+40000</f>
        <v>314625.64</v>
      </c>
      <c r="L12" s="366">
        <f>10-1</f>
        <v>9</v>
      </c>
      <c r="M12" s="366">
        <f>10-1</f>
        <v>9</v>
      </c>
      <c r="N12" s="366">
        <f>314625.64-40000</f>
        <v>274625.64</v>
      </c>
      <c r="O12" s="366">
        <v>7</v>
      </c>
      <c r="P12" s="366">
        <v>256336</v>
      </c>
      <c r="Q12" s="391">
        <f t="shared" si="0"/>
        <v>40000</v>
      </c>
      <c r="R12" s="366">
        <v>11</v>
      </c>
      <c r="S12" s="366">
        <v>231629.43000000002</v>
      </c>
      <c r="T12" s="366">
        <v>7</v>
      </c>
      <c r="U12" s="366">
        <v>120890.26</v>
      </c>
    </row>
    <row r="13" spans="1:23" s="96" customFormat="1" ht="22.5" x14ac:dyDescent="0.2">
      <c r="A13" s="271" t="s">
        <v>540</v>
      </c>
      <c r="B13" s="246" t="s">
        <v>542</v>
      </c>
      <c r="C13" s="152">
        <v>69341</v>
      </c>
      <c r="D13" s="451">
        <v>149700</v>
      </c>
      <c r="E13" s="187">
        <v>44908</v>
      </c>
      <c r="F13" s="366">
        <v>5</v>
      </c>
      <c r="G13" s="366">
        <v>149697</v>
      </c>
      <c r="H13" s="366">
        <v>1</v>
      </c>
      <c r="I13" s="366">
        <v>29997</v>
      </c>
      <c r="J13" s="366">
        <v>4</v>
      </c>
      <c r="K13" s="366">
        <v>119700</v>
      </c>
      <c r="L13" s="366">
        <v>4</v>
      </c>
      <c r="M13" s="366">
        <v>4</v>
      </c>
      <c r="N13" s="366">
        <v>119700</v>
      </c>
      <c r="O13" s="366">
        <v>0</v>
      </c>
      <c r="P13" s="366">
        <v>0</v>
      </c>
      <c r="Q13" s="391">
        <f t="shared" si="0"/>
        <v>0</v>
      </c>
      <c r="R13" s="366">
        <v>5</v>
      </c>
      <c r="S13" s="366">
        <v>119699.95999999999</v>
      </c>
      <c r="T13" s="366">
        <v>3</v>
      </c>
      <c r="U13" s="366">
        <v>69076.28</v>
      </c>
    </row>
    <row r="14" spans="1:23" s="96" customFormat="1" ht="56.25" x14ac:dyDescent="0.2">
      <c r="A14" s="271" t="s">
        <v>540</v>
      </c>
      <c r="B14" s="246" t="s">
        <v>543</v>
      </c>
      <c r="C14" s="152">
        <v>69302</v>
      </c>
      <c r="D14" s="451">
        <v>314232</v>
      </c>
      <c r="E14" s="187">
        <v>44906</v>
      </c>
      <c r="F14" s="366">
        <v>7</v>
      </c>
      <c r="G14" s="366">
        <v>261378.68</v>
      </c>
      <c r="H14" s="366">
        <v>2</v>
      </c>
      <c r="I14" s="366">
        <v>90000</v>
      </c>
      <c r="J14" s="366">
        <v>5</v>
      </c>
      <c r="K14" s="366">
        <v>171378.68</v>
      </c>
      <c r="L14" s="366">
        <v>5</v>
      </c>
      <c r="M14" s="366">
        <v>5</v>
      </c>
      <c r="N14" s="366">
        <v>171378.68</v>
      </c>
      <c r="O14" s="366">
        <v>0</v>
      </c>
      <c r="P14" s="366">
        <v>0</v>
      </c>
      <c r="Q14" s="391">
        <f t="shared" si="0"/>
        <v>0</v>
      </c>
      <c r="R14" s="366">
        <v>8</v>
      </c>
      <c r="S14" s="366">
        <v>140102.06</v>
      </c>
      <c r="T14" s="366">
        <v>6</v>
      </c>
      <c r="U14" s="366">
        <v>106268.12999999999</v>
      </c>
    </row>
    <row r="15" spans="1:23" s="96" customFormat="1" ht="22.5" x14ac:dyDescent="0.2">
      <c r="A15" s="271" t="s">
        <v>541</v>
      </c>
      <c r="B15" s="246" t="s">
        <v>542</v>
      </c>
      <c r="C15" s="152">
        <v>69601</v>
      </c>
      <c r="D15" s="451">
        <v>20000</v>
      </c>
      <c r="E15" s="187">
        <v>44906</v>
      </c>
      <c r="F15" s="366">
        <v>1</v>
      </c>
      <c r="G15" s="366">
        <v>19901.7</v>
      </c>
      <c r="H15" s="366">
        <v>0</v>
      </c>
      <c r="I15" s="366">
        <v>0</v>
      </c>
      <c r="J15" s="366">
        <v>1</v>
      </c>
      <c r="K15" s="366">
        <v>19901.7</v>
      </c>
      <c r="L15" s="366">
        <v>1</v>
      </c>
      <c r="M15" s="366">
        <v>1</v>
      </c>
      <c r="N15" s="366">
        <v>19901.7</v>
      </c>
      <c r="O15" s="366">
        <v>0</v>
      </c>
      <c r="P15" s="366">
        <v>0</v>
      </c>
      <c r="Q15" s="391">
        <f t="shared" si="0"/>
        <v>0</v>
      </c>
      <c r="R15" s="366">
        <v>1</v>
      </c>
      <c r="S15" s="366">
        <v>18857.7</v>
      </c>
      <c r="T15" s="366">
        <v>1</v>
      </c>
      <c r="U15" s="366">
        <v>18805.5</v>
      </c>
    </row>
    <row r="16" spans="1:23" s="96" customFormat="1" ht="33.75" x14ac:dyDescent="0.2">
      <c r="A16" s="271" t="s">
        <v>238</v>
      </c>
      <c r="B16" s="380" t="s">
        <v>377</v>
      </c>
      <c r="C16" s="381">
        <v>78181</v>
      </c>
      <c r="D16" s="451">
        <v>500000</v>
      </c>
      <c r="E16" s="385">
        <v>45352</v>
      </c>
      <c r="F16" s="366">
        <v>14</v>
      </c>
      <c r="G16" s="366">
        <v>1028990.82</v>
      </c>
      <c r="H16" s="366">
        <v>0</v>
      </c>
      <c r="I16" s="366">
        <v>0</v>
      </c>
      <c r="J16" s="366">
        <v>11</v>
      </c>
      <c r="K16" s="366">
        <v>826402.05</v>
      </c>
      <c r="L16" s="366">
        <v>11</v>
      </c>
      <c r="M16" s="366">
        <v>11</v>
      </c>
      <c r="N16" s="366">
        <v>826402.05</v>
      </c>
      <c r="O16" s="366">
        <v>3</v>
      </c>
      <c r="P16" s="366">
        <v>168656.6</v>
      </c>
      <c r="Q16" s="391">
        <f t="shared" si="0"/>
        <v>0</v>
      </c>
      <c r="R16" s="366">
        <v>5</v>
      </c>
      <c r="S16" s="366">
        <v>377505.52</v>
      </c>
      <c r="T16" s="366">
        <v>1</v>
      </c>
      <c r="U16" s="366">
        <v>28361.45</v>
      </c>
    </row>
    <row r="17" spans="1:23" s="96" customFormat="1" ht="22.5" x14ac:dyDescent="0.2">
      <c r="A17" s="271" t="s">
        <v>242</v>
      </c>
      <c r="B17" s="380" t="s">
        <v>608</v>
      </c>
      <c r="C17" s="381">
        <v>78364</v>
      </c>
      <c r="D17" s="451">
        <v>200000</v>
      </c>
      <c r="E17" s="385">
        <v>45359</v>
      </c>
      <c r="F17" s="366">
        <v>10</v>
      </c>
      <c r="G17" s="366">
        <v>505000</v>
      </c>
      <c r="H17" s="366">
        <v>0</v>
      </c>
      <c r="I17" s="366">
        <v>0</v>
      </c>
      <c r="J17" s="366">
        <v>10</v>
      </c>
      <c r="K17" s="366">
        <v>500000</v>
      </c>
      <c r="L17" s="366">
        <v>10</v>
      </c>
      <c r="M17" s="366">
        <v>10</v>
      </c>
      <c r="N17" s="366">
        <v>500000</v>
      </c>
      <c r="O17" s="366">
        <v>0</v>
      </c>
      <c r="P17" s="366">
        <v>0</v>
      </c>
      <c r="Q17" s="391">
        <f t="shared" si="0"/>
        <v>0</v>
      </c>
      <c r="R17" s="366">
        <v>10</v>
      </c>
      <c r="S17" s="366">
        <v>350000</v>
      </c>
      <c r="T17" s="366">
        <v>9</v>
      </c>
      <c r="U17" s="366">
        <v>315000</v>
      </c>
    </row>
    <row r="18" spans="1:23" s="96" customFormat="1" ht="22.5" x14ac:dyDescent="0.2">
      <c r="A18" s="271" t="s">
        <v>541</v>
      </c>
      <c r="B18" s="380" t="s">
        <v>609</v>
      </c>
      <c r="C18" s="381">
        <v>78381</v>
      </c>
      <c r="D18" s="451">
        <v>200000</v>
      </c>
      <c r="E18" s="385">
        <v>45359</v>
      </c>
      <c r="F18" s="366">
        <v>20</v>
      </c>
      <c r="G18" s="366">
        <v>891309.05</v>
      </c>
      <c r="H18" s="366">
        <v>0</v>
      </c>
      <c r="I18" s="366">
        <v>0</v>
      </c>
      <c r="J18" s="366">
        <v>15</v>
      </c>
      <c r="K18" s="398">
        <v>626808.32999999996</v>
      </c>
      <c r="L18" s="366">
        <v>13</v>
      </c>
      <c r="M18" s="366">
        <v>12</v>
      </c>
      <c r="N18" s="366">
        <v>494012.13</v>
      </c>
      <c r="O18" s="366">
        <v>1</v>
      </c>
      <c r="P18" s="366">
        <v>45000</v>
      </c>
      <c r="Q18" s="391">
        <f t="shared" si="0"/>
        <v>132796.19999999995</v>
      </c>
      <c r="R18" s="366">
        <v>5</v>
      </c>
      <c r="S18" s="366">
        <v>103698.48</v>
      </c>
      <c r="T18" s="366">
        <v>4</v>
      </c>
      <c r="U18" s="366">
        <v>83742.240000000005</v>
      </c>
    </row>
    <row r="19" spans="1:23" x14ac:dyDescent="0.2">
      <c r="A19" s="19" t="s">
        <v>1</v>
      </c>
      <c r="B19" s="19"/>
      <c r="C19" s="60"/>
      <c r="D19" s="20">
        <f>SUM(D6:D18)</f>
        <v>4217532</v>
      </c>
      <c r="E19" s="20"/>
      <c r="F19" s="20">
        <f t="shared" ref="F19:U19" si="1">SUM(F6:F18)</f>
        <v>100</v>
      </c>
      <c r="G19" s="20">
        <f t="shared" si="1"/>
        <v>5630382.3600000003</v>
      </c>
      <c r="H19" s="20">
        <f t="shared" si="1"/>
        <v>6</v>
      </c>
      <c r="I19" s="20">
        <f t="shared" si="1"/>
        <v>231774.44</v>
      </c>
      <c r="J19" s="20">
        <f t="shared" si="1"/>
        <v>75</v>
      </c>
      <c r="K19" s="20">
        <f t="shared" si="1"/>
        <v>4230885.0900000008</v>
      </c>
      <c r="L19" s="20">
        <f t="shared" si="1"/>
        <v>72</v>
      </c>
      <c r="M19" s="20">
        <f t="shared" si="1"/>
        <v>71</v>
      </c>
      <c r="N19" s="20">
        <f t="shared" si="1"/>
        <v>4058088.8900000006</v>
      </c>
      <c r="O19" s="20">
        <f t="shared" si="1"/>
        <v>15</v>
      </c>
      <c r="P19" s="20">
        <f t="shared" si="1"/>
        <v>805994.74</v>
      </c>
      <c r="Q19" s="20">
        <f t="shared" si="1"/>
        <v>172796.19999999995</v>
      </c>
      <c r="R19" s="20">
        <f t="shared" si="1"/>
        <v>75</v>
      </c>
      <c r="S19" s="20">
        <f t="shared" si="1"/>
        <v>2676894.0599999996</v>
      </c>
      <c r="T19" s="530">
        <f t="shared" si="1"/>
        <v>56</v>
      </c>
      <c r="U19" s="530">
        <f t="shared" si="1"/>
        <v>1535042.5599999998</v>
      </c>
    </row>
    <row r="20" spans="1:23" customFormat="1" ht="15" customHeight="1" x14ac:dyDescent="0.25">
      <c r="A20" s="219" t="s">
        <v>390</v>
      </c>
      <c r="B20" s="140"/>
      <c r="C20" s="140"/>
      <c r="D20" s="140"/>
      <c r="E20" s="140"/>
      <c r="F20" s="140"/>
      <c r="G20" s="140"/>
      <c r="H20" s="140"/>
      <c r="I20" s="140"/>
      <c r="J20" s="140"/>
      <c r="K20" s="140"/>
      <c r="L20" s="140"/>
      <c r="M20" s="140"/>
      <c r="N20" s="140"/>
      <c r="O20" s="140"/>
      <c r="P20" s="140"/>
      <c r="Q20" s="140"/>
      <c r="R20" s="140"/>
    </row>
    <row r="21" spans="1:23" s="23" customFormat="1" ht="22.15" customHeight="1" x14ac:dyDescent="0.25">
      <c r="A21" s="1148" t="s">
        <v>732</v>
      </c>
      <c r="B21" s="1148"/>
      <c r="C21" s="1148"/>
      <c r="D21" s="1148"/>
      <c r="E21" s="1148"/>
      <c r="F21" s="1148"/>
      <c r="G21" s="1148"/>
      <c r="H21" s="1148"/>
      <c r="I21" s="1148"/>
      <c r="J21" s="1148"/>
      <c r="K21" s="1148"/>
      <c r="L21" s="1148"/>
      <c r="M21" s="1148"/>
      <c r="N21" s="1148"/>
      <c r="O21" s="1148"/>
      <c r="P21" s="1148"/>
      <c r="Q21" s="1148"/>
      <c r="R21" s="1148"/>
      <c r="S21" s="1148"/>
      <c r="T21" s="1148"/>
      <c r="U21" s="1148"/>
      <c r="V21" s="90"/>
    </row>
    <row r="22" spans="1:23" ht="23.45" customHeight="1" x14ac:dyDescent="0.2">
      <c r="B22" s="1149" t="s">
        <v>660</v>
      </c>
      <c r="C22" s="1150"/>
      <c r="D22" s="1149"/>
      <c r="E22" s="1149"/>
      <c r="F22" s="1149"/>
      <c r="G22" s="1149"/>
      <c r="H22" s="1150"/>
      <c r="I22" s="1150"/>
      <c r="J22" s="1149"/>
      <c r="K22" s="1149"/>
      <c r="L22" s="1149"/>
      <c r="M22" s="1149"/>
      <c r="N22" s="1149"/>
      <c r="O22" s="1149"/>
      <c r="P22" s="1149"/>
      <c r="Q22" s="1149"/>
      <c r="R22" s="1149"/>
      <c r="S22" s="1149"/>
      <c r="T22" s="1149"/>
      <c r="U22" s="1149"/>
    </row>
    <row r="23" spans="1:23" ht="20.25" customHeight="1" x14ac:dyDescent="0.2">
      <c r="A23" s="966" t="s">
        <v>248</v>
      </c>
      <c r="B23" s="966" t="s">
        <v>156</v>
      </c>
      <c r="C23" s="966" t="s">
        <v>282</v>
      </c>
      <c r="D23" s="966" t="s">
        <v>157</v>
      </c>
      <c r="E23" s="966" t="s">
        <v>158</v>
      </c>
      <c r="F23" s="997" t="s">
        <v>337</v>
      </c>
      <c r="G23" s="998"/>
      <c r="H23" s="997" t="s">
        <v>277</v>
      </c>
      <c r="I23" s="998"/>
      <c r="J23" s="997" t="s">
        <v>159</v>
      </c>
      <c r="K23" s="998"/>
      <c r="L23" s="976" t="s">
        <v>717</v>
      </c>
      <c r="M23" s="977"/>
      <c r="N23" s="977"/>
      <c r="O23" s="977"/>
      <c r="P23" s="978"/>
      <c r="Q23" s="966" t="s">
        <v>250</v>
      </c>
      <c r="R23" s="969" t="s">
        <v>718</v>
      </c>
      <c r="S23" s="970"/>
      <c r="T23" s="969" t="s">
        <v>719</v>
      </c>
      <c r="U23" s="970"/>
      <c r="W23" s="96"/>
    </row>
    <row r="24" spans="1:23" ht="10.15" customHeight="1" x14ac:dyDescent="0.2">
      <c r="A24" s="967"/>
      <c r="B24" s="967"/>
      <c r="C24" s="967"/>
      <c r="D24" s="967"/>
      <c r="E24" s="967"/>
      <c r="F24" s="971"/>
      <c r="G24" s="972"/>
      <c r="H24" s="971"/>
      <c r="I24" s="972"/>
      <c r="J24" s="971"/>
      <c r="K24" s="972"/>
      <c r="L24" s="1143" t="s">
        <v>160</v>
      </c>
      <c r="M24" s="977"/>
      <c r="N24" s="978"/>
      <c r="O24" s="997" t="s">
        <v>631</v>
      </c>
      <c r="P24" s="998"/>
      <c r="Q24" s="967"/>
      <c r="R24" s="971"/>
      <c r="S24" s="972"/>
      <c r="T24" s="971"/>
      <c r="U24" s="972"/>
      <c r="W24" s="96"/>
    </row>
    <row r="25" spans="1:23" ht="21" customHeight="1" x14ac:dyDescent="0.2">
      <c r="A25" s="967"/>
      <c r="B25" s="967"/>
      <c r="C25" s="967"/>
      <c r="D25" s="967"/>
      <c r="E25" s="967"/>
      <c r="F25" s="973"/>
      <c r="G25" s="974"/>
      <c r="H25" s="973"/>
      <c r="I25" s="974"/>
      <c r="J25" s="973"/>
      <c r="K25" s="974"/>
      <c r="L25" s="979" t="s">
        <v>161</v>
      </c>
      <c r="M25" s="1143" t="s">
        <v>247</v>
      </c>
      <c r="N25" s="978"/>
      <c r="O25" s="973"/>
      <c r="P25" s="974"/>
      <c r="Q25" s="975"/>
      <c r="R25" s="973"/>
      <c r="S25" s="974"/>
      <c r="T25" s="973"/>
      <c r="U25" s="974"/>
      <c r="W25" s="96"/>
    </row>
    <row r="26" spans="1:23" ht="21" x14ac:dyDescent="0.2">
      <c r="A26" s="975"/>
      <c r="B26" s="975"/>
      <c r="C26" s="975"/>
      <c r="D26" s="975"/>
      <c r="E26" s="975"/>
      <c r="F26" s="127" t="s">
        <v>161</v>
      </c>
      <c r="G26" s="128" t="s">
        <v>162</v>
      </c>
      <c r="H26" s="15" t="s">
        <v>161</v>
      </c>
      <c r="I26" s="16" t="s">
        <v>162</v>
      </c>
      <c r="J26" s="127" t="s">
        <v>161</v>
      </c>
      <c r="K26" s="128" t="s">
        <v>162</v>
      </c>
      <c r="L26" s="1142"/>
      <c r="M26" s="160" t="s">
        <v>161</v>
      </c>
      <c r="N26" s="130" t="s">
        <v>162</v>
      </c>
      <c r="O26" s="160" t="s">
        <v>161</v>
      </c>
      <c r="P26" s="130" t="s">
        <v>162</v>
      </c>
      <c r="Q26" s="16" t="s">
        <v>162</v>
      </c>
      <c r="R26" s="15" t="s">
        <v>161</v>
      </c>
      <c r="S26" s="16" t="s">
        <v>162</v>
      </c>
      <c r="T26" s="78" t="s">
        <v>161</v>
      </c>
      <c r="U26" s="79" t="s">
        <v>162</v>
      </c>
      <c r="W26" s="96"/>
    </row>
    <row r="27" spans="1:23" s="96" customFormat="1" ht="24.6" customHeight="1" x14ac:dyDescent="0.2">
      <c r="A27" s="271" t="s">
        <v>245</v>
      </c>
      <c r="B27" s="247" t="s">
        <v>430</v>
      </c>
      <c r="C27" s="152">
        <v>38362</v>
      </c>
      <c r="D27" s="366">
        <v>428475.25</v>
      </c>
      <c r="E27" s="187">
        <v>44043</v>
      </c>
      <c r="F27" s="366">
        <v>5</v>
      </c>
      <c r="G27" s="366">
        <v>511094.6</v>
      </c>
      <c r="H27" s="366">
        <v>0</v>
      </c>
      <c r="I27" s="366">
        <v>0</v>
      </c>
      <c r="J27" s="366">
        <v>5</v>
      </c>
      <c r="K27" s="366">
        <v>428475.25</v>
      </c>
      <c r="L27" s="366">
        <v>5</v>
      </c>
      <c r="M27" s="366">
        <v>5</v>
      </c>
      <c r="N27" s="366">
        <v>428475.25</v>
      </c>
      <c r="O27" s="366">
        <v>0</v>
      </c>
      <c r="P27" s="366">
        <v>0</v>
      </c>
      <c r="Q27" s="366">
        <f t="shared" ref="Q27:Q32" si="2">K27-N27</f>
        <v>0</v>
      </c>
      <c r="R27" s="366">
        <v>5</v>
      </c>
      <c r="S27" s="366">
        <v>420142.69</v>
      </c>
      <c r="T27" s="366">
        <v>4</v>
      </c>
      <c r="U27" s="366">
        <v>367439.09</v>
      </c>
    </row>
    <row r="28" spans="1:23" s="96" customFormat="1" ht="51" customHeight="1" x14ac:dyDescent="0.2">
      <c r="A28" s="271" t="s">
        <v>242</v>
      </c>
      <c r="B28" s="247" t="s">
        <v>492</v>
      </c>
      <c r="C28" s="152">
        <v>41341</v>
      </c>
      <c r="D28" s="185">
        <v>40888.679999999993</v>
      </c>
      <c r="E28" s="187">
        <v>44089</v>
      </c>
      <c r="F28" s="366">
        <v>3</v>
      </c>
      <c r="G28" s="366">
        <v>74388.679999999993</v>
      </c>
      <c r="H28" s="366">
        <v>0</v>
      </c>
      <c r="I28" s="366">
        <v>0</v>
      </c>
      <c r="J28" s="366">
        <v>2</v>
      </c>
      <c r="K28" s="366">
        <v>40888.679999999993</v>
      </c>
      <c r="L28" s="366">
        <v>2</v>
      </c>
      <c r="M28" s="366">
        <v>2</v>
      </c>
      <c r="N28" s="366">
        <f>61333.02-P28</f>
        <v>40888.679999999993</v>
      </c>
      <c r="O28" s="366">
        <v>1</v>
      </c>
      <c r="P28" s="366">
        <v>20444.34</v>
      </c>
      <c r="Q28" s="366">
        <f t="shared" si="2"/>
        <v>0</v>
      </c>
      <c r="R28" s="366">
        <v>3</v>
      </c>
      <c r="S28" s="366">
        <v>40888.68</v>
      </c>
      <c r="T28" s="366">
        <v>3</v>
      </c>
      <c r="U28" s="366">
        <v>40888.680000000008</v>
      </c>
      <c r="V28" s="339"/>
    </row>
    <row r="29" spans="1:23" s="96" customFormat="1" ht="23.45" customHeight="1" x14ac:dyDescent="0.2">
      <c r="A29" s="271" t="s">
        <v>540</v>
      </c>
      <c r="B29" s="247" t="s">
        <v>431</v>
      </c>
      <c r="C29" s="152">
        <v>41442</v>
      </c>
      <c r="D29" s="185">
        <v>40602.1</v>
      </c>
      <c r="E29" s="187">
        <v>44089</v>
      </c>
      <c r="F29" s="366">
        <v>7</v>
      </c>
      <c r="G29" s="366">
        <v>96535.660000000018</v>
      </c>
      <c r="H29" s="366">
        <v>0</v>
      </c>
      <c r="I29" s="366">
        <v>0</v>
      </c>
      <c r="J29" s="366">
        <v>3</v>
      </c>
      <c r="K29" s="366">
        <v>40602.1</v>
      </c>
      <c r="L29" s="366">
        <v>3</v>
      </c>
      <c r="M29" s="366">
        <v>3</v>
      </c>
      <c r="N29" s="366">
        <v>40602.1</v>
      </c>
      <c r="O29" s="366">
        <v>4</v>
      </c>
      <c r="P29" s="366">
        <v>55294.57</v>
      </c>
      <c r="Q29" s="366">
        <f t="shared" si="2"/>
        <v>0</v>
      </c>
      <c r="R29" s="366">
        <v>3</v>
      </c>
      <c r="S29" s="366">
        <v>37287.339999999997</v>
      </c>
      <c r="T29" s="366">
        <v>3</v>
      </c>
      <c r="U29" s="366">
        <v>36628.14</v>
      </c>
    </row>
    <row r="30" spans="1:23" s="96" customFormat="1" ht="58.5" customHeight="1" x14ac:dyDescent="0.2">
      <c r="A30" s="271" t="s">
        <v>540</v>
      </c>
      <c r="B30" s="247" t="s">
        <v>432</v>
      </c>
      <c r="C30" s="152">
        <v>41561</v>
      </c>
      <c r="D30" s="366">
        <v>20139</v>
      </c>
      <c r="E30" s="187">
        <v>44089</v>
      </c>
      <c r="F30" s="366">
        <v>2</v>
      </c>
      <c r="G30" s="366">
        <v>41643</v>
      </c>
      <c r="H30" s="366">
        <v>0</v>
      </c>
      <c r="I30" s="366">
        <v>0</v>
      </c>
      <c r="J30" s="366">
        <v>1</v>
      </c>
      <c r="K30" s="366">
        <v>20139</v>
      </c>
      <c r="L30" s="366">
        <v>1</v>
      </c>
      <c r="M30" s="366">
        <v>1</v>
      </c>
      <c r="N30" s="366">
        <v>20139</v>
      </c>
      <c r="O30" s="366">
        <v>1</v>
      </c>
      <c r="P30" s="366">
        <v>19544</v>
      </c>
      <c r="Q30" s="366">
        <f t="shared" si="2"/>
        <v>0</v>
      </c>
      <c r="R30" s="366">
        <v>1</v>
      </c>
      <c r="S30" s="366">
        <v>19565</v>
      </c>
      <c r="T30" s="366">
        <v>1</v>
      </c>
      <c r="U30" s="366">
        <v>18686.46</v>
      </c>
    </row>
    <row r="31" spans="1:23" s="96" customFormat="1" ht="39.75" customHeight="1" x14ac:dyDescent="0.2">
      <c r="A31" s="271" t="s">
        <v>540</v>
      </c>
      <c r="B31" s="247" t="s">
        <v>433</v>
      </c>
      <c r="C31" s="152">
        <v>41644</v>
      </c>
      <c r="D31" s="366">
        <v>0</v>
      </c>
      <c r="E31" s="187">
        <v>44089</v>
      </c>
      <c r="F31" s="366">
        <v>6</v>
      </c>
      <c r="G31" s="366">
        <v>131286.10999999999</v>
      </c>
      <c r="H31" s="366">
        <v>2</v>
      </c>
      <c r="I31" s="366">
        <v>47490.47</v>
      </c>
      <c r="J31" s="366">
        <v>0</v>
      </c>
      <c r="K31" s="366">
        <v>0</v>
      </c>
      <c r="L31" s="366">
        <v>0</v>
      </c>
      <c r="M31" s="366">
        <v>0</v>
      </c>
      <c r="N31" s="366">
        <v>0</v>
      </c>
      <c r="O31" s="366">
        <v>4</v>
      </c>
      <c r="P31" s="366">
        <v>83770.11</v>
      </c>
      <c r="Q31" s="366">
        <f t="shared" si="2"/>
        <v>0</v>
      </c>
      <c r="R31" s="366">
        <v>0</v>
      </c>
      <c r="S31" s="366">
        <v>0</v>
      </c>
      <c r="T31" s="366">
        <v>0</v>
      </c>
      <c r="U31" s="366">
        <v>0</v>
      </c>
    </row>
    <row r="32" spans="1:23" s="96" customFormat="1" ht="45" x14ac:dyDescent="0.2">
      <c r="A32" s="271" t="s">
        <v>541</v>
      </c>
      <c r="B32" s="247" t="s">
        <v>434</v>
      </c>
      <c r="C32" s="152">
        <v>41721</v>
      </c>
      <c r="D32" s="366">
        <v>124866.15000000001</v>
      </c>
      <c r="E32" s="187">
        <v>44089</v>
      </c>
      <c r="F32" s="366">
        <v>8</v>
      </c>
      <c r="G32" s="366">
        <v>148369.96</v>
      </c>
      <c r="H32" s="366">
        <v>0</v>
      </c>
      <c r="I32" s="366">
        <v>0</v>
      </c>
      <c r="J32" s="366">
        <v>7</v>
      </c>
      <c r="K32" s="366">
        <v>124866.15000000001</v>
      </c>
      <c r="L32" s="366">
        <v>7</v>
      </c>
      <c r="M32" s="366">
        <v>7</v>
      </c>
      <c r="N32" s="366">
        <v>124866.15000000001</v>
      </c>
      <c r="O32" s="366">
        <v>1</v>
      </c>
      <c r="P32" s="366">
        <v>18690</v>
      </c>
      <c r="Q32" s="366">
        <f t="shared" si="2"/>
        <v>0</v>
      </c>
      <c r="R32" s="366">
        <v>6</v>
      </c>
      <c r="S32" s="366">
        <v>91724.53</v>
      </c>
      <c r="T32" s="366">
        <v>3</v>
      </c>
      <c r="U32" s="366">
        <v>51753.3</v>
      </c>
    </row>
    <row r="33" spans="1:22" s="96" customFormat="1" ht="30.75" customHeight="1" x14ac:dyDescent="0.2">
      <c r="A33" s="369" t="s">
        <v>365</v>
      </c>
      <c r="B33" s="370" t="s">
        <v>493</v>
      </c>
      <c r="C33" s="152">
        <v>67282</v>
      </c>
      <c r="D33" s="366">
        <v>173502.19</v>
      </c>
      <c r="E33" s="272">
        <v>44900</v>
      </c>
      <c r="F33" s="366">
        <v>2</v>
      </c>
      <c r="G33" s="366">
        <v>176510.3</v>
      </c>
      <c r="H33" s="366">
        <v>0</v>
      </c>
      <c r="I33" s="366">
        <v>0</v>
      </c>
      <c r="J33" s="366">
        <v>2</v>
      </c>
      <c r="K33" s="366">
        <v>173502.19</v>
      </c>
      <c r="L33" s="366">
        <v>2</v>
      </c>
      <c r="M33" s="366">
        <v>2</v>
      </c>
      <c r="N33" s="366">
        <v>173502.19</v>
      </c>
      <c r="O33" s="366">
        <v>0</v>
      </c>
      <c r="P33" s="366">
        <v>0</v>
      </c>
      <c r="Q33" s="366">
        <f>K33-N33</f>
        <v>0</v>
      </c>
      <c r="R33" s="366">
        <v>1</v>
      </c>
      <c r="S33" s="366">
        <v>84323.99</v>
      </c>
      <c r="T33" s="366">
        <v>0</v>
      </c>
      <c r="U33" s="366">
        <v>0</v>
      </c>
    </row>
    <row r="34" spans="1:22" s="96" customFormat="1" ht="33.75" x14ac:dyDescent="0.2">
      <c r="A34" s="271" t="s">
        <v>245</v>
      </c>
      <c r="B34" s="247" t="s">
        <v>560</v>
      </c>
      <c r="C34" s="152">
        <v>72243</v>
      </c>
      <c r="D34" s="185">
        <v>1000000</v>
      </c>
      <c r="E34" s="187">
        <v>45114</v>
      </c>
      <c r="F34" s="366">
        <v>5</v>
      </c>
      <c r="G34" s="366">
        <v>1000000</v>
      </c>
      <c r="H34" s="366">
        <v>0</v>
      </c>
      <c r="I34" s="366">
        <v>0</v>
      </c>
      <c r="J34" s="366">
        <v>5</v>
      </c>
      <c r="K34" s="366">
        <v>959694.88</v>
      </c>
      <c r="L34" s="366">
        <v>5</v>
      </c>
      <c r="M34" s="366">
        <v>5</v>
      </c>
      <c r="N34" s="366">
        <v>959694.88</v>
      </c>
      <c r="O34" s="366">
        <v>0</v>
      </c>
      <c r="P34" s="366">
        <v>0</v>
      </c>
      <c r="Q34" s="366">
        <f>K34-N34</f>
        <v>0</v>
      </c>
      <c r="R34" s="366">
        <v>2</v>
      </c>
      <c r="S34" s="366">
        <v>395452.68</v>
      </c>
      <c r="T34" s="366">
        <v>0</v>
      </c>
      <c r="U34" s="366">
        <v>0</v>
      </c>
    </row>
    <row r="35" spans="1:22" s="96" customFormat="1" ht="56.25" x14ac:dyDescent="0.2">
      <c r="A35" s="271" t="s">
        <v>275</v>
      </c>
      <c r="B35" s="246" t="s">
        <v>603</v>
      </c>
      <c r="C35" s="152">
        <v>78265</v>
      </c>
      <c r="D35" s="185">
        <v>70477.55</v>
      </c>
      <c r="E35" s="153">
        <v>45362</v>
      </c>
      <c r="F35" s="366">
        <v>3</v>
      </c>
      <c r="G35" s="366">
        <v>73118.73</v>
      </c>
      <c r="H35" s="366">
        <v>0</v>
      </c>
      <c r="I35" s="366">
        <v>0</v>
      </c>
      <c r="J35" s="366">
        <v>3</v>
      </c>
      <c r="K35" s="366">
        <v>70477.55</v>
      </c>
      <c r="L35" s="366">
        <v>3</v>
      </c>
      <c r="M35" s="366">
        <v>3</v>
      </c>
      <c r="N35" s="366">
        <v>70477.55</v>
      </c>
      <c r="O35" s="366">
        <v>0</v>
      </c>
      <c r="P35" s="366">
        <v>0</v>
      </c>
      <c r="Q35" s="366">
        <f t="shared" ref="Q35:Q39" si="3">K35-N35</f>
        <v>0</v>
      </c>
      <c r="R35" s="366">
        <v>0</v>
      </c>
      <c r="S35" s="366">
        <v>0</v>
      </c>
      <c r="T35" s="366">
        <v>0</v>
      </c>
      <c r="U35" s="366">
        <v>0</v>
      </c>
    </row>
    <row r="36" spans="1:22" s="96" customFormat="1" ht="33.75" x14ac:dyDescent="0.2">
      <c r="A36" s="271" t="s">
        <v>151</v>
      </c>
      <c r="B36" s="246" t="s">
        <v>607</v>
      </c>
      <c r="C36" s="152">
        <v>78268</v>
      </c>
      <c r="D36" s="366">
        <v>119038.9</v>
      </c>
      <c r="E36" s="153">
        <v>45362</v>
      </c>
      <c r="F36" s="366">
        <v>1</v>
      </c>
      <c r="G36" s="366">
        <v>122675.11</v>
      </c>
      <c r="H36" s="366">
        <v>0</v>
      </c>
      <c r="I36" s="366">
        <v>0</v>
      </c>
      <c r="J36" s="366">
        <v>1</v>
      </c>
      <c r="K36" s="366">
        <v>119038.9</v>
      </c>
      <c r="L36" s="366">
        <v>1</v>
      </c>
      <c r="M36" s="366">
        <v>1</v>
      </c>
      <c r="N36" s="366">
        <v>119038.9</v>
      </c>
      <c r="O36" s="366">
        <v>0</v>
      </c>
      <c r="P36" s="366">
        <v>0</v>
      </c>
      <c r="Q36" s="366">
        <f t="shared" si="3"/>
        <v>0</v>
      </c>
      <c r="R36" s="366">
        <v>0</v>
      </c>
      <c r="S36" s="366">
        <v>0</v>
      </c>
      <c r="T36" s="366">
        <v>0</v>
      </c>
      <c r="U36" s="366">
        <v>0</v>
      </c>
    </row>
    <row r="37" spans="1:22" s="96" customFormat="1" ht="33.75" x14ac:dyDescent="0.2">
      <c r="A37" s="271" t="s">
        <v>151</v>
      </c>
      <c r="B37" s="246" t="s">
        <v>604</v>
      </c>
      <c r="C37" s="152">
        <v>78301</v>
      </c>
      <c r="D37" s="366">
        <v>316000</v>
      </c>
      <c r="E37" s="153">
        <v>45362</v>
      </c>
      <c r="F37" s="366">
        <v>2</v>
      </c>
      <c r="G37" s="366">
        <v>316000</v>
      </c>
      <c r="H37" s="366">
        <v>0</v>
      </c>
      <c r="I37" s="366">
        <v>0</v>
      </c>
      <c r="J37" s="366">
        <v>2</v>
      </c>
      <c r="K37" s="366">
        <v>316000</v>
      </c>
      <c r="L37" s="366">
        <v>2</v>
      </c>
      <c r="M37" s="366">
        <v>2</v>
      </c>
      <c r="N37" s="366">
        <v>316000</v>
      </c>
      <c r="O37" s="366">
        <v>0</v>
      </c>
      <c r="P37" s="366">
        <v>0</v>
      </c>
      <c r="Q37" s="366">
        <f t="shared" si="3"/>
        <v>0</v>
      </c>
      <c r="R37" s="366">
        <v>1</v>
      </c>
      <c r="S37" s="366">
        <v>80340</v>
      </c>
      <c r="T37" s="366">
        <v>0</v>
      </c>
      <c r="U37" s="366">
        <v>0</v>
      </c>
    </row>
    <row r="38" spans="1:22" s="96" customFormat="1" ht="40.5" customHeight="1" x14ac:dyDescent="0.2">
      <c r="A38" s="271" t="s">
        <v>151</v>
      </c>
      <c r="B38" s="246" t="s">
        <v>605</v>
      </c>
      <c r="C38" s="152">
        <v>78303</v>
      </c>
      <c r="D38" s="366">
        <v>158528.98000000001</v>
      </c>
      <c r="E38" s="153">
        <v>45362</v>
      </c>
      <c r="F38" s="366">
        <v>1</v>
      </c>
      <c r="G38" s="366">
        <v>158626.13</v>
      </c>
      <c r="H38" s="366">
        <v>0</v>
      </c>
      <c r="I38" s="366">
        <v>0</v>
      </c>
      <c r="J38" s="366">
        <v>1</v>
      </c>
      <c r="K38" s="366">
        <v>158528.98000000001</v>
      </c>
      <c r="L38" s="366">
        <v>1</v>
      </c>
      <c r="M38" s="366">
        <v>1</v>
      </c>
      <c r="N38" s="366">
        <v>158528.98000000001</v>
      </c>
      <c r="O38" s="366">
        <v>0</v>
      </c>
      <c r="P38" s="366">
        <v>0</v>
      </c>
      <c r="Q38" s="366">
        <f t="shared" si="3"/>
        <v>0</v>
      </c>
      <c r="R38" s="366">
        <v>1</v>
      </c>
      <c r="S38" s="366">
        <v>71331.23</v>
      </c>
      <c r="T38" s="366">
        <v>0</v>
      </c>
      <c r="U38" s="366">
        <v>0</v>
      </c>
    </row>
    <row r="39" spans="1:22" s="96" customFormat="1" ht="41.25" customHeight="1" x14ac:dyDescent="0.2">
      <c r="A39" s="271" t="s">
        <v>151</v>
      </c>
      <c r="B39" s="246" t="s">
        <v>606</v>
      </c>
      <c r="C39" s="152">
        <v>78304</v>
      </c>
      <c r="D39" s="366">
        <v>158000</v>
      </c>
      <c r="E39" s="153">
        <v>45362</v>
      </c>
      <c r="F39" s="366">
        <v>1</v>
      </c>
      <c r="G39" s="366">
        <v>158000</v>
      </c>
      <c r="H39" s="366">
        <v>0</v>
      </c>
      <c r="I39" s="366">
        <v>0</v>
      </c>
      <c r="J39" s="366">
        <v>1</v>
      </c>
      <c r="K39" s="366">
        <v>158000</v>
      </c>
      <c r="L39" s="366">
        <v>1</v>
      </c>
      <c r="M39" s="366">
        <v>1</v>
      </c>
      <c r="N39" s="366">
        <v>158000</v>
      </c>
      <c r="O39" s="366">
        <v>0</v>
      </c>
      <c r="P39" s="366">
        <v>0</v>
      </c>
      <c r="Q39" s="366">
        <f t="shared" si="3"/>
        <v>0</v>
      </c>
      <c r="R39" s="366">
        <v>0</v>
      </c>
      <c r="S39" s="366">
        <v>0</v>
      </c>
      <c r="T39" s="366">
        <v>0</v>
      </c>
      <c r="U39" s="366">
        <v>0</v>
      </c>
    </row>
    <row r="40" spans="1:22" x14ac:dyDescent="0.2">
      <c r="A40" s="19" t="s">
        <v>1</v>
      </c>
      <c r="B40" s="19"/>
      <c r="C40" s="60"/>
      <c r="D40" s="20">
        <f>SUM(D27:D39)</f>
        <v>2650518.8000000003</v>
      </c>
      <c r="E40" s="20"/>
      <c r="F40" s="20">
        <f t="shared" ref="F40:U40" si="4">SUM(F27:F39)</f>
        <v>46</v>
      </c>
      <c r="G40" s="20">
        <f t="shared" si="4"/>
        <v>3008248.28</v>
      </c>
      <c r="H40" s="20">
        <f t="shared" si="4"/>
        <v>2</v>
      </c>
      <c r="I40" s="20">
        <f t="shared" si="4"/>
        <v>47490.47</v>
      </c>
      <c r="J40" s="20">
        <f t="shared" si="4"/>
        <v>33</v>
      </c>
      <c r="K40" s="20">
        <f t="shared" si="4"/>
        <v>2610213.6800000002</v>
      </c>
      <c r="L40" s="20">
        <f t="shared" si="4"/>
        <v>33</v>
      </c>
      <c r="M40" s="20">
        <f t="shared" si="4"/>
        <v>33</v>
      </c>
      <c r="N40" s="20">
        <f t="shared" si="4"/>
        <v>2610213.6800000002</v>
      </c>
      <c r="O40" s="20">
        <f t="shared" si="4"/>
        <v>11</v>
      </c>
      <c r="P40" s="20">
        <f t="shared" si="4"/>
        <v>197743.02000000002</v>
      </c>
      <c r="Q40" s="20">
        <f t="shared" si="4"/>
        <v>0</v>
      </c>
      <c r="R40" s="20">
        <f t="shared" si="4"/>
        <v>23</v>
      </c>
      <c r="S40" s="20">
        <f t="shared" si="4"/>
        <v>1241056.1399999999</v>
      </c>
      <c r="T40" s="530">
        <f t="shared" si="4"/>
        <v>14</v>
      </c>
      <c r="U40" s="530">
        <f t="shared" si="4"/>
        <v>515395.67000000004</v>
      </c>
    </row>
    <row r="41" spans="1:22" customFormat="1" ht="16.5" customHeight="1" x14ac:dyDescent="0.25">
      <c r="A41" s="219" t="s">
        <v>390</v>
      </c>
      <c r="B41" s="140"/>
      <c r="C41" s="140"/>
      <c r="D41" s="140"/>
      <c r="E41" s="140"/>
      <c r="F41" s="140"/>
      <c r="G41" s="140"/>
      <c r="H41" s="140"/>
      <c r="I41" s="140"/>
      <c r="J41" s="140"/>
      <c r="K41" s="140"/>
      <c r="L41" s="140"/>
      <c r="M41" s="140"/>
      <c r="N41" s="140"/>
      <c r="O41" s="140"/>
      <c r="P41" s="140"/>
      <c r="Q41" s="140"/>
      <c r="R41" s="140"/>
    </row>
    <row r="42" spans="1:22" s="23" customFormat="1" ht="24" customHeight="1" x14ac:dyDescent="0.25">
      <c r="A42" s="1148" t="s">
        <v>732</v>
      </c>
      <c r="B42" s="1148"/>
      <c r="C42" s="1148"/>
      <c r="D42" s="1148"/>
      <c r="E42" s="1148"/>
      <c r="F42" s="1148"/>
      <c r="G42" s="1148"/>
      <c r="H42" s="1148"/>
      <c r="I42" s="1148"/>
      <c r="J42" s="1148"/>
      <c r="K42" s="1148"/>
      <c r="L42" s="1148"/>
      <c r="M42" s="1148"/>
      <c r="N42" s="1148"/>
      <c r="O42" s="1148"/>
      <c r="P42" s="1148"/>
      <c r="Q42" s="1148"/>
      <c r="R42" s="1148"/>
      <c r="S42" s="1148"/>
      <c r="T42" s="1148"/>
      <c r="U42" s="1148"/>
      <c r="V42" s="90"/>
    </row>
  </sheetData>
  <mergeCells count="36">
    <mergeCell ref="B1:U1"/>
    <mergeCell ref="L2:P2"/>
    <mergeCell ref="Q2:Q4"/>
    <mergeCell ref="R2:S4"/>
    <mergeCell ref="T2:U4"/>
    <mergeCell ref="L3:N3"/>
    <mergeCell ref="O3:P4"/>
    <mergeCell ref="L4:L5"/>
    <mergeCell ref="C2:C5"/>
    <mergeCell ref="M4:N4"/>
    <mergeCell ref="J2:K4"/>
    <mergeCell ref="F2:G4"/>
    <mergeCell ref="H2:I4"/>
    <mergeCell ref="E2:E5"/>
    <mergeCell ref="B2:B5"/>
    <mergeCell ref="A42:U42"/>
    <mergeCell ref="Q23:Q25"/>
    <mergeCell ref="R23:S25"/>
    <mergeCell ref="L24:N24"/>
    <mergeCell ref="O24:P25"/>
    <mergeCell ref="M25:N25"/>
    <mergeCell ref="L23:P23"/>
    <mergeCell ref="L25:L26"/>
    <mergeCell ref="C23:C26"/>
    <mergeCell ref="F23:G25"/>
    <mergeCell ref="J23:K25"/>
    <mergeCell ref="H23:I25"/>
    <mergeCell ref="T23:U25"/>
    <mergeCell ref="A23:A26"/>
    <mergeCell ref="B23:B26"/>
    <mergeCell ref="D23:D26"/>
    <mergeCell ref="A2:A5"/>
    <mergeCell ref="A21:U21"/>
    <mergeCell ref="B22:U22"/>
    <mergeCell ref="D2:D5"/>
    <mergeCell ref="E23:E26"/>
  </mergeCells>
  <phoneticPr fontId="33" type="noConversion"/>
  <pageMargins left="0.7" right="0.7" top="0.75" bottom="0.75" header="0.3" footer="0.3"/>
  <pageSetup paperSize="9" scale="67" orientation="landscape" r:id="rId1"/>
  <rowBreaks count="1" manualBreakCount="1">
    <brk id="21" max="20" man="1"/>
  </rowBreaks>
  <colBreaks count="1" manualBreakCount="1">
    <brk id="21"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C44"/>
  <sheetViews>
    <sheetView view="pageBreakPreview" topLeftCell="C28" zoomScaleNormal="100" zoomScaleSheetLayoutView="100" zoomScalePageLayoutView="55" workbookViewId="0">
      <selection activeCell="T38" sqref="T38:U38"/>
    </sheetView>
  </sheetViews>
  <sheetFormatPr defaultColWidth="5" defaultRowHeight="11.25" x14ac:dyDescent="0.2"/>
  <cols>
    <col min="1" max="1" width="9.140625" style="12" customWidth="1"/>
    <col min="2" max="2" width="32.42578125" style="12" customWidth="1"/>
    <col min="3" max="3" width="8.28515625" style="12" customWidth="1"/>
    <col min="4" max="4" width="9.5703125" style="12" customWidth="1"/>
    <col min="5" max="5" width="8.42578125" style="12" customWidth="1"/>
    <col min="6" max="6" width="4.28515625" style="12" customWidth="1"/>
    <col min="7" max="7" width="8.7109375" style="12" customWidth="1"/>
    <col min="8" max="8" width="3.140625" style="12" bestFit="1" customWidth="1"/>
    <col min="9" max="9" width="6.7109375" style="12" customWidth="1"/>
    <col min="10" max="10" width="3.28515625" style="12" customWidth="1"/>
    <col min="11" max="11" width="7.7109375" style="12" bestFit="1" customWidth="1"/>
    <col min="12" max="13" width="3.140625" style="12" bestFit="1" customWidth="1"/>
    <col min="14" max="14" width="9.7109375" style="12" customWidth="1"/>
    <col min="15" max="15" width="3.140625" style="12" bestFit="1" customWidth="1"/>
    <col min="16" max="16" width="7.28515625" style="12" customWidth="1"/>
    <col min="17" max="17" width="8.5703125" style="12" customWidth="1"/>
    <col min="18" max="18" width="3.140625" style="12" bestFit="1" customWidth="1"/>
    <col min="19" max="19" width="8.7109375" style="12" customWidth="1"/>
    <col min="20" max="20" width="3.85546875" style="12" customWidth="1"/>
    <col min="21" max="21" width="10.5703125" style="12" customWidth="1"/>
    <col min="22" max="22" width="5" style="12"/>
    <col min="23" max="23" width="5" style="96"/>
    <col min="24" max="24" width="6.7109375" style="12" bestFit="1" customWidth="1"/>
    <col min="25" max="25" width="10.42578125" style="12" bestFit="1" customWidth="1"/>
    <col min="26" max="26" width="13.85546875" style="12" bestFit="1" customWidth="1"/>
    <col min="27" max="28" width="8.7109375" style="12" bestFit="1" customWidth="1"/>
    <col min="29" max="29" width="11.28515625" style="12" bestFit="1" customWidth="1"/>
    <col min="30" max="16384" width="5" style="12"/>
  </cols>
  <sheetData>
    <row r="1" spans="1:29" ht="14.45" customHeight="1" x14ac:dyDescent="0.2">
      <c r="A1" s="1149" t="s">
        <v>661</v>
      </c>
      <c r="B1" s="1149"/>
      <c r="C1" s="1150"/>
      <c r="D1" s="1149"/>
      <c r="E1" s="1149"/>
      <c r="F1" s="1149"/>
      <c r="G1" s="1149"/>
      <c r="H1" s="1150"/>
      <c r="I1" s="1150"/>
      <c r="J1" s="1149"/>
      <c r="K1" s="1149"/>
      <c r="L1" s="1149"/>
      <c r="M1" s="1149"/>
      <c r="N1" s="1149"/>
      <c r="O1" s="1149"/>
      <c r="P1" s="1149"/>
      <c r="Q1" s="1149"/>
      <c r="R1" s="1149"/>
      <c r="S1" s="1149"/>
      <c r="T1" s="1149"/>
      <c r="U1" s="1149"/>
      <c r="V1" s="96"/>
      <c r="W1" s="12"/>
    </row>
    <row r="2" spans="1:29" ht="20.25" customHeight="1" x14ac:dyDescent="0.2">
      <c r="A2" s="966" t="s">
        <v>248</v>
      </c>
      <c r="B2" s="966" t="s">
        <v>156</v>
      </c>
      <c r="C2" s="966" t="s">
        <v>282</v>
      </c>
      <c r="D2" s="966" t="s">
        <v>157</v>
      </c>
      <c r="E2" s="966" t="s">
        <v>158</v>
      </c>
      <c r="F2" s="997" t="s">
        <v>337</v>
      </c>
      <c r="G2" s="998"/>
      <c r="H2" s="997" t="s">
        <v>277</v>
      </c>
      <c r="I2" s="998"/>
      <c r="J2" s="997" t="s">
        <v>159</v>
      </c>
      <c r="K2" s="998"/>
      <c r="L2" s="976" t="s">
        <v>717</v>
      </c>
      <c r="M2" s="977"/>
      <c r="N2" s="977"/>
      <c r="O2" s="977"/>
      <c r="P2" s="978"/>
      <c r="Q2" s="966" t="s">
        <v>250</v>
      </c>
      <c r="R2" s="969" t="s">
        <v>718</v>
      </c>
      <c r="S2" s="970"/>
      <c r="T2" s="969" t="s">
        <v>719</v>
      </c>
      <c r="U2" s="970"/>
      <c r="V2" s="96"/>
    </row>
    <row r="3" spans="1:29" ht="10.15" customHeight="1" x14ac:dyDescent="0.2">
      <c r="A3" s="967"/>
      <c r="B3" s="967"/>
      <c r="C3" s="967"/>
      <c r="D3" s="967"/>
      <c r="E3" s="967"/>
      <c r="F3" s="971"/>
      <c r="G3" s="972"/>
      <c r="H3" s="971"/>
      <c r="I3" s="972"/>
      <c r="J3" s="971"/>
      <c r="K3" s="972"/>
      <c r="L3" s="1143" t="s">
        <v>160</v>
      </c>
      <c r="M3" s="977"/>
      <c r="N3" s="978"/>
      <c r="O3" s="997" t="s">
        <v>631</v>
      </c>
      <c r="P3" s="998"/>
      <c r="Q3" s="967"/>
      <c r="R3" s="971"/>
      <c r="S3" s="972"/>
      <c r="T3" s="971"/>
      <c r="U3" s="972"/>
      <c r="V3" s="96"/>
    </row>
    <row r="4" spans="1:29" ht="21" customHeight="1" x14ac:dyDescent="0.2">
      <c r="A4" s="967"/>
      <c r="B4" s="967"/>
      <c r="C4" s="967"/>
      <c r="D4" s="967"/>
      <c r="E4" s="967"/>
      <c r="F4" s="973"/>
      <c r="G4" s="974"/>
      <c r="H4" s="973"/>
      <c r="I4" s="974"/>
      <c r="J4" s="973"/>
      <c r="K4" s="974"/>
      <c r="L4" s="979" t="s">
        <v>161</v>
      </c>
      <c r="M4" s="1143" t="s">
        <v>247</v>
      </c>
      <c r="N4" s="978"/>
      <c r="O4" s="973"/>
      <c r="P4" s="974"/>
      <c r="Q4" s="975"/>
      <c r="R4" s="973"/>
      <c r="S4" s="974"/>
      <c r="T4" s="973"/>
      <c r="U4" s="974"/>
      <c r="V4" s="96"/>
    </row>
    <row r="5" spans="1:29" ht="21" x14ac:dyDescent="0.2">
      <c r="A5" s="975"/>
      <c r="B5" s="975"/>
      <c r="C5" s="975"/>
      <c r="D5" s="975"/>
      <c r="E5" s="975"/>
      <c r="F5" s="127" t="s">
        <v>161</v>
      </c>
      <c r="G5" s="128" t="s">
        <v>162</v>
      </c>
      <c r="H5" s="15" t="s">
        <v>161</v>
      </c>
      <c r="I5" s="16" t="s">
        <v>162</v>
      </c>
      <c r="J5" s="127" t="s">
        <v>161</v>
      </c>
      <c r="K5" s="128" t="s">
        <v>162</v>
      </c>
      <c r="L5" s="1142"/>
      <c r="M5" s="160" t="s">
        <v>161</v>
      </c>
      <c r="N5" s="130" t="s">
        <v>162</v>
      </c>
      <c r="O5" s="160" t="s">
        <v>161</v>
      </c>
      <c r="P5" s="130" t="s">
        <v>162</v>
      </c>
      <c r="Q5" s="16" t="s">
        <v>162</v>
      </c>
      <c r="R5" s="15" t="s">
        <v>161</v>
      </c>
      <c r="S5" s="16" t="s">
        <v>162</v>
      </c>
      <c r="T5" s="78" t="s">
        <v>161</v>
      </c>
      <c r="U5" s="79" t="s">
        <v>162</v>
      </c>
      <c r="V5" s="96"/>
    </row>
    <row r="6" spans="1:29" ht="56.25" x14ac:dyDescent="0.2">
      <c r="A6" s="340" t="s">
        <v>63</v>
      </c>
      <c r="B6" s="452" t="s">
        <v>438</v>
      </c>
      <c r="C6" s="467">
        <v>31326</v>
      </c>
      <c r="D6" s="468">
        <v>443715</v>
      </c>
      <c r="E6" s="453">
        <v>43819.999988425923</v>
      </c>
      <c r="F6" s="456">
        <v>3</v>
      </c>
      <c r="G6" s="456">
        <v>446700.88</v>
      </c>
      <c r="H6" s="456">
        <v>0</v>
      </c>
      <c r="I6" s="456">
        <v>0</v>
      </c>
      <c r="J6" s="456">
        <v>3</v>
      </c>
      <c r="K6" s="466">
        <v>443715</v>
      </c>
      <c r="L6" s="456">
        <v>3</v>
      </c>
      <c r="M6" s="456">
        <v>2</v>
      </c>
      <c r="N6" s="456">
        <v>296805.44</v>
      </c>
      <c r="O6" s="456">
        <v>0</v>
      </c>
      <c r="P6" s="456">
        <v>0</v>
      </c>
      <c r="Q6" s="456">
        <f t="shared" ref="Q6:Q15" si="0">K6-N6</f>
        <v>146909.56</v>
      </c>
      <c r="R6" s="456">
        <v>1</v>
      </c>
      <c r="S6" s="456">
        <v>142450.44</v>
      </c>
      <c r="T6" s="456">
        <v>1</v>
      </c>
      <c r="U6" s="456">
        <v>27330.38</v>
      </c>
      <c r="W6" s="12"/>
    </row>
    <row r="7" spans="1:29" s="96" customFormat="1" ht="22.5" x14ac:dyDescent="0.2">
      <c r="A7" s="3" t="s">
        <v>63</v>
      </c>
      <c r="B7" s="247" t="s">
        <v>439</v>
      </c>
      <c r="C7" s="152">
        <v>32565</v>
      </c>
      <c r="D7" s="32">
        <v>300000</v>
      </c>
      <c r="E7" s="153">
        <v>44161</v>
      </c>
      <c r="F7" s="366">
        <v>2</v>
      </c>
      <c r="G7" s="366">
        <v>299486.8</v>
      </c>
      <c r="H7" s="366">
        <v>0</v>
      </c>
      <c r="I7" s="366">
        <v>0</v>
      </c>
      <c r="J7" s="366">
        <v>1</v>
      </c>
      <c r="K7" s="366">
        <v>148337.89000000001</v>
      </c>
      <c r="L7" s="366">
        <v>1</v>
      </c>
      <c r="M7" s="366">
        <v>1</v>
      </c>
      <c r="N7" s="366">
        <v>148337.89000000001</v>
      </c>
      <c r="O7" s="366">
        <v>1</v>
      </c>
      <c r="P7" s="366">
        <v>149708</v>
      </c>
      <c r="Q7" s="366">
        <f t="shared" si="0"/>
        <v>0</v>
      </c>
      <c r="R7" s="366">
        <v>0</v>
      </c>
      <c r="S7" s="366">
        <v>0</v>
      </c>
      <c r="T7" s="366">
        <v>0</v>
      </c>
      <c r="U7" s="366">
        <v>0</v>
      </c>
    </row>
    <row r="8" spans="1:29" s="96" customFormat="1" ht="33.75" x14ac:dyDescent="0.2">
      <c r="A8" s="58" t="s">
        <v>242</v>
      </c>
      <c r="B8" s="247" t="s">
        <v>440</v>
      </c>
      <c r="C8" s="152">
        <v>36701</v>
      </c>
      <c r="D8" s="32">
        <v>1102537.9099999999</v>
      </c>
      <c r="E8" s="153">
        <v>43893</v>
      </c>
      <c r="F8" s="366">
        <v>28</v>
      </c>
      <c r="G8" s="366">
        <v>1394970.69</v>
      </c>
      <c r="H8" s="366">
        <v>4</v>
      </c>
      <c r="I8" s="366">
        <v>176471.94</v>
      </c>
      <c r="J8" s="366">
        <v>24</v>
      </c>
      <c r="K8" s="366">
        <v>1097918.07</v>
      </c>
      <c r="L8" s="366">
        <v>24</v>
      </c>
      <c r="M8" s="366">
        <v>24</v>
      </c>
      <c r="N8" s="366">
        <v>1097918.07</v>
      </c>
      <c r="O8" s="366">
        <v>0</v>
      </c>
      <c r="P8" s="366">
        <v>0</v>
      </c>
      <c r="Q8" s="366">
        <f t="shared" si="0"/>
        <v>0</v>
      </c>
      <c r="R8" s="366">
        <v>24</v>
      </c>
      <c r="S8" s="366">
        <v>674378.07000000007</v>
      </c>
      <c r="T8" s="366">
        <v>19</v>
      </c>
      <c r="U8" s="366">
        <v>469499.2</v>
      </c>
    </row>
    <row r="9" spans="1:29" s="96" customFormat="1" ht="33.75" x14ac:dyDescent="0.2">
      <c r="A9" s="388" t="s">
        <v>616</v>
      </c>
      <c r="B9" s="383" t="s">
        <v>617</v>
      </c>
      <c r="C9" s="381" t="s">
        <v>618</v>
      </c>
      <c r="D9" s="366">
        <v>0</v>
      </c>
      <c r="E9" s="367">
        <v>45473</v>
      </c>
      <c r="F9" s="366">
        <v>0</v>
      </c>
      <c r="G9" s="366">
        <v>0</v>
      </c>
      <c r="H9" s="366">
        <v>0</v>
      </c>
      <c r="I9" s="366">
        <v>0</v>
      </c>
      <c r="J9" s="366">
        <v>0</v>
      </c>
      <c r="K9" s="376">
        <v>0</v>
      </c>
      <c r="L9" s="366">
        <v>0</v>
      </c>
      <c r="M9" s="366">
        <v>0</v>
      </c>
      <c r="N9" s="366">
        <v>0</v>
      </c>
      <c r="O9" s="366">
        <v>0</v>
      </c>
      <c r="P9" s="366">
        <v>0</v>
      </c>
      <c r="Q9" s="391">
        <f t="shared" si="0"/>
        <v>0</v>
      </c>
      <c r="R9" s="366">
        <v>0</v>
      </c>
      <c r="S9" s="366">
        <v>0</v>
      </c>
      <c r="T9" s="366">
        <v>0</v>
      </c>
      <c r="U9" s="366">
        <v>0</v>
      </c>
    </row>
    <row r="10" spans="1:29" ht="56.25" x14ac:dyDescent="0.2">
      <c r="A10" s="357" t="s">
        <v>151</v>
      </c>
      <c r="B10" s="464" t="s">
        <v>524</v>
      </c>
      <c r="C10" s="465">
        <v>61707</v>
      </c>
      <c r="D10" s="468">
        <v>300000</v>
      </c>
      <c r="E10" s="453">
        <v>44742</v>
      </c>
      <c r="F10" s="456">
        <v>3</v>
      </c>
      <c r="G10" s="456">
        <v>427850</v>
      </c>
      <c r="H10" s="456">
        <v>0</v>
      </c>
      <c r="I10" s="456">
        <v>0</v>
      </c>
      <c r="J10" s="456">
        <v>2</v>
      </c>
      <c r="K10" s="466">
        <v>298947.37</v>
      </c>
      <c r="L10" s="456">
        <v>2</v>
      </c>
      <c r="M10" s="456">
        <v>2</v>
      </c>
      <c r="N10" s="456">
        <v>298947.37</v>
      </c>
      <c r="O10" s="456">
        <v>1</v>
      </c>
      <c r="P10" s="456">
        <v>127850</v>
      </c>
      <c r="Q10" s="455">
        <f t="shared" si="0"/>
        <v>0</v>
      </c>
      <c r="R10" s="456">
        <v>1</v>
      </c>
      <c r="S10" s="456">
        <v>150000</v>
      </c>
      <c r="T10" s="456">
        <v>0</v>
      </c>
      <c r="U10" s="456">
        <v>0</v>
      </c>
      <c r="W10" s="12"/>
      <c r="X10" s="472"/>
      <c r="Y10" s="473"/>
      <c r="Z10" s="474"/>
      <c r="AB10" s="475"/>
      <c r="AC10" s="476"/>
    </row>
    <row r="11" spans="1:29" ht="33.75" x14ac:dyDescent="0.2">
      <c r="A11" s="357" t="s">
        <v>540</v>
      </c>
      <c r="B11" s="464" t="s">
        <v>561</v>
      </c>
      <c r="C11" s="465">
        <v>71102</v>
      </c>
      <c r="D11" s="468">
        <v>900000</v>
      </c>
      <c r="E11" s="453">
        <v>45077</v>
      </c>
      <c r="F11" s="456">
        <v>7</v>
      </c>
      <c r="G11" s="456">
        <v>656439.52</v>
      </c>
      <c r="H11" s="456">
        <v>0</v>
      </c>
      <c r="I11" s="456">
        <v>0</v>
      </c>
      <c r="J11" s="456">
        <v>7</v>
      </c>
      <c r="K11" s="466">
        <v>656439.52</v>
      </c>
      <c r="L11" s="456">
        <v>5</v>
      </c>
      <c r="M11" s="456">
        <v>5</v>
      </c>
      <c r="N11" s="456">
        <v>451468.11</v>
      </c>
      <c r="O11" s="456">
        <v>2</v>
      </c>
      <c r="P11" s="456">
        <v>187574.26</v>
      </c>
      <c r="Q11" s="455">
        <f t="shared" si="0"/>
        <v>204971.41000000003</v>
      </c>
      <c r="R11" s="456">
        <v>2</v>
      </c>
      <c r="S11" s="456">
        <v>150000</v>
      </c>
      <c r="T11" s="456">
        <v>1</v>
      </c>
      <c r="U11" s="456">
        <v>50000</v>
      </c>
      <c r="W11" s="12"/>
      <c r="X11" s="472"/>
      <c r="Y11" s="473"/>
      <c r="Z11" s="474"/>
      <c r="AA11" s="477"/>
      <c r="AB11" s="475"/>
      <c r="AC11" s="476"/>
    </row>
    <row r="12" spans="1:29" ht="56.25" x14ac:dyDescent="0.2">
      <c r="A12" s="357" t="s">
        <v>63</v>
      </c>
      <c r="B12" s="464" t="s">
        <v>596</v>
      </c>
      <c r="C12" s="465">
        <v>75781</v>
      </c>
      <c r="D12" s="468">
        <v>150000</v>
      </c>
      <c r="E12" s="453">
        <v>45384</v>
      </c>
      <c r="F12" s="456">
        <v>2</v>
      </c>
      <c r="G12" s="456">
        <v>236903.95</v>
      </c>
      <c r="H12" s="456">
        <v>0</v>
      </c>
      <c r="I12" s="456">
        <v>0</v>
      </c>
      <c r="J12" s="456">
        <v>2</v>
      </c>
      <c r="K12" s="456">
        <v>236903.95</v>
      </c>
      <c r="L12" s="456">
        <v>1</v>
      </c>
      <c r="M12" s="456">
        <v>1</v>
      </c>
      <c r="N12" s="456">
        <v>145280.55000000002</v>
      </c>
      <c r="O12" s="456">
        <v>0</v>
      </c>
      <c r="P12" s="456">
        <v>0</v>
      </c>
      <c r="Q12" s="455">
        <f t="shared" si="0"/>
        <v>91623.4</v>
      </c>
      <c r="R12" s="456">
        <v>0</v>
      </c>
      <c r="S12" s="456">
        <v>0</v>
      </c>
      <c r="T12" s="456">
        <v>0</v>
      </c>
      <c r="U12" s="456">
        <v>0</v>
      </c>
      <c r="W12" s="12"/>
      <c r="X12" s="472"/>
      <c r="Y12" s="473"/>
      <c r="Z12" s="474"/>
      <c r="AA12" s="477"/>
      <c r="AB12" s="475"/>
      <c r="AC12" s="476"/>
    </row>
    <row r="13" spans="1:29" ht="67.5" x14ac:dyDescent="0.2">
      <c r="A13" s="357" t="s">
        <v>273</v>
      </c>
      <c r="B13" s="464" t="s">
        <v>610</v>
      </c>
      <c r="C13" s="465">
        <v>78142</v>
      </c>
      <c r="D13" s="468">
        <v>600000</v>
      </c>
      <c r="E13" s="453">
        <v>45473</v>
      </c>
      <c r="F13" s="456">
        <v>8</v>
      </c>
      <c r="G13" s="456">
        <v>1618260.1800000002</v>
      </c>
      <c r="H13" s="456">
        <v>0</v>
      </c>
      <c r="I13" s="456">
        <v>0</v>
      </c>
      <c r="J13" s="366">
        <v>8</v>
      </c>
      <c r="K13" s="32">
        <v>600000</v>
      </c>
      <c r="L13" s="456">
        <v>8</v>
      </c>
      <c r="M13" s="456">
        <v>7</v>
      </c>
      <c r="N13" s="456">
        <v>1200688.5900000001</v>
      </c>
      <c r="O13" s="456">
        <v>0</v>
      </c>
      <c r="P13" s="456">
        <v>0</v>
      </c>
      <c r="Q13" s="455">
        <f t="shared" si="0"/>
        <v>-600688.59000000008</v>
      </c>
      <c r="R13" s="456">
        <v>0</v>
      </c>
      <c r="S13" s="456">
        <v>0</v>
      </c>
      <c r="T13" s="456">
        <v>0</v>
      </c>
      <c r="U13" s="456">
        <v>0</v>
      </c>
      <c r="W13" s="12"/>
      <c r="X13" s="472"/>
      <c r="AC13" s="476"/>
    </row>
    <row r="14" spans="1:29" ht="22.5" x14ac:dyDescent="0.2">
      <c r="A14" s="478" t="s">
        <v>245</v>
      </c>
      <c r="B14" s="464" t="s">
        <v>611</v>
      </c>
      <c r="C14" s="465">
        <v>78541</v>
      </c>
      <c r="D14" s="468">
        <v>400000</v>
      </c>
      <c r="E14" s="453">
        <v>45473</v>
      </c>
      <c r="F14" s="456">
        <v>6</v>
      </c>
      <c r="G14" s="456">
        <v>1169422.25</v>
      </c>
      <c r="H14" s="456">
        <v>0</v>
      </c>
      <c r="I14" s="456">
        <v>0</v>
      </c>
      <c r="J14" s="366">
        <v>6</v>
      </c>
      <c r="K14" s="366">
        <v>765000</v>
      </c>
      <c r="L14" s="456">
        <v>6</v>
      </c>
      <c r="M14" s="456">
        <v>6</v>
      </c>
      <c r="N14" s="456">
        <v>1111561.0900000001</v>
      </c>
      <c r="O14" s="456">
        <v>0</v>
      </c>
      <c r="P14" s="456">
        <v>0</v>
      </c>
      <c r="Q14" s="455">
        <f t="shared" si="0"/>
        <v>-346561.09000000008</v>
      </c>
      <c r="R14" s="456">
        <v>0</v>
      </c>
      <c r="S14" s="456">
        <v>0</v>
      </c>
      <c r="T14" s="456">
        <v>0</v>
      </c>
      <c r="U14" s="456">
        <v>0</v>
      </c>
      <c r="W14" s="12"/>
      <c r="X14" s="472"/>
      <c r="Y14" s="472"/>
      <c r="Z14" s="473"/>
      <c r="AA14" s="475"/>
      <c r="AB14" s="479"/>
      <c r="AC14" s="476"/>
    </row>
    <row r="15" spans="1:29" ht="33.75" x14ac:dyDescent="0.2">
      <c r="A15" s="357" t="s">
        <v>540</v>
      </c>
      <c r="B15" s="464" t="s">
        <v>561</v>
      </c>
      <c r="C15" s="465">
        <v>79545</v>
      </c>
      <c r="D15" s="468">
        <v>448531.89</v>
      </c>
      <c r="E15" s="480">
        <v>45473</v>
      </c>
      <c r="F15" s="456">
        <v>5</v>
      </c>
      <c r="G15" s="456">
        <v>483967.22</v>
      </c>
      <c r="H15" s="456">
        <v>0</v>
      </c>
      <c r="I15" s="456">
        <v>0</v>
      </c>
      <c r="J15" s="366">
        <v>4</v>
      </c>
      <c r="K15" s="366">
        <v>372939.96</v>
      </c>
      <c r="L15" s="456">
        <v>3</v>
      </c>
      <c r="M15" s="456">
        <v>2</v>
      </c>
      <c r="N15" s="456">
        <v>204067.27000000002</v>
      </c>
      <c r="O15" s="456">
        <v>0</v>
      </c>
      <c r="P15" s="456">
        <v>0</v>
      </c>
      <c r="Q15" s="455">
        <f t="shared" si="0"/>
        <v>168872.69</v>
      </c>
      <c r="R15" s="456">
        <v>3</v>
      </c>
      <c r="S15" s="456">
        <v>129041.75</v>
      </c>
      <c r="T15" s="456">
        <v>1</v>
      </c>
      <c r="U15" s="456">
        <v>50000</v>
      </c>
      <c r="W15" s="12"/>
      <c r="X15" s="481"/>
      <c r="Y15" s="481"/>
      <c r="Z15" s="482"/>
      <c r="AA15" s="483"/>
      <c r="AB15" s="484"/>
      <c r="AC15" s="485"/>
    </row>
    <row r="16" spans="1:29" ht="17.45" customHeight="1" x14ac:dyDescent="0.2">
      <c r="A16" s="403" t="s">
        <v>616</v>
      </c>
      <c r="B16" s="496" t="s">
        <v>672</v>
      </c>
      <c r="C16" s="470">
        <v>82243</v>
      </c>
      <c r="D16" s="466">
        <v>2032005</v>
      </c>
      <c r="E16" s="536">
        <v>45504.999988425923</v>
      </c>
      <c r="F16" s="456">
        <v>19</v>
      </c>
      <c r="G16" s="456">
        <v>889085.04</v>
      </c>
      <c r="H16" s="456">
        <v>0</v>
      </c>
      <c r="I16" s="456">
        <v>0</v>
      </c>
      <c r="J16" s="456">
        <v>19</v>
      </c>
      <c r="K16" s="456">
        <v>889085.04</v>
      </c>
      <c r="L16" s="456">
        <v>17</v>
      </c>
      <c r="M16" s="456">
        <v>11</v>
      </c>
      <c r="N16" s="456">
        <v>396110.31000000006</v>
      </c>
      <c r="O16" s="456">
        <v>0</v>
      </c>
      <c r="P16" s="456">
        <v>0</v>
      </c>
      <c r="Q16" s="455">
        <f t="shared" ref="Q16" si="1">K16-N16</f>
        <v>492974.73</v>
      </c>
      <c r="R16" s="456">
        <v>0</v>
      </c>
      <c r="S16" s="456">
        <v>0</v>
      </c>
      <c r="T16" s="456">
        <v>0</v>
      </c>
      <c r="U16" s="456">
        <v>0</v>
      </c>
      <c r="W16" s="12"/>
      <c r="X16" s="481"/>
      <c r="Y16" s="481"/>
      <c r="Z16" s="482"/>
      <c r="AA16" s="483"/>
      <c r="AB16" s="484"/>
      <c r="AC16" s="485"/>
    </row>
    <row r="17" spans="1:26" x14ac:dyDescent="0.2">
      <c r="A17" s="19" t="s">
        <v>1</v>
      </c>
      <c r="B17" s="19"/>
      <c r="C17" s="60"/>
      <c r="D17" s="20">
        <f>SUM(D6:D16)</f>
        <v>6676789.7999999998</v>
      </c>
      <c r="E17" s="20"/>
      <c r="F17" s="20">
        <f>SUM(F6:F16)</f>
        <v>83</v>
      </c>
      <c r="G17" s="20">
        <f t="shared" ref="G17:U17" si="2">SUM(G6:G16)</f>
        <v>7623086.5300000003</v>
      </c>
      <c r="H17" s="20">
        <f t="shared" si="2"/>
        <v>4</v>
      </c>
      <c r="I17" s="20">
        <f t="shared" si="2"/>
        <v>176471.94</v>
      </c>
      <c r="J17" s="20">
        <f t="shared" si="2"/>
        <v>76</v>
      </c>
      <c r="K17" s="20">
        <f t="shared" si="2"/>
        <v>5509286.8000000007</v>
      </c>
      <c r="L17" s="20">
        <f t="shared" si="2"/>
        <v>70</v>
      </c>
      <c r="M17" s="20">
        <f t="shared" si="2"/>
        <v>61</v>
      </c>
      <c r="N17" s="20">
        <f t="shared" si="2"/>
        <v>5351184.6899999995</v>
      </c>
      <c r="O17" s="20">
        <f t="shared" si="2"/>
        <v>4</v>
      </c>
      <c r="P17" s="20">
        <f t="shared" si="2"/>
        <v>465132.26</v>
      </c>
      <c r="Q17" s="20">
        <f t="shared" si="2"/>
        <v>158102.10999999981</v>
      </c>
      <c r="R17" s="20">
        <f t="shared" si="2"/>
        <v>31</v>
      </c>
      <c r="S17" s="20">
        <f t="shared" si="2"/>
        <v>1245870.26</v>
      </c>
      <c r="T17" s="20">
        <f t="shared" si="2"/>
        <v>22</v>
      </c>
      <c r="U17" s="20">
        <f t="shared" si="2"/>
        <v>596829.58000000007</v>
      </c>
      <c r="V17" s="96"/>
      <c r="W17" s="12"/>
    </row>
    <row r="18" spans="1:26" customFormat="1" ht="15" customHeight="1" x14ac:dyDescent="0.25">
      <c r="A18" s="219" t="s">
        <v>390</v>
      </c>
      <c r="B18" s="140"/>
      <c r="C18" s="140"/>
      <c r="D18" s="140"/>
      <c r="E18" s="140"/>
      <c r="F18" s="140"/>
      <c r="G18" s="140"/>
      <c r="H18" s="140"/>
      <c r="I18" s="140"/>
      <c r="J18" s="140"/>
      <c r="K18" s="140"/>
      <c r="L18" s="140"/>
      <c r="M18" s="140"/>
      <c r="N18" s="140"/>
      <c r="O18" s="140"/>
      <c r="P18" s="140"/>
      <c r="Q18" s="140"/>
      <c r="R18" s="140"/>
    </row>
    <row r="19" spans="1:26" s="23" customFormat="1" ht="21" customHeight="1" x14ac:dyDescent="0.25">
      <c r="A19" s="1148" t="s">
        <v>732</v>
      </c>
      <c r="B19" s="1148"/>
      <c r="C19" s="1148"/>
      <c r="D19" s="1148"/>
      <c r="E19" s="1148"/>
      <c r="F19" s="1148"/>
      <c r="G19" s="1148"/>
      <c r="H19" s="1148"/>
      <c r="I19" s="1148"/>
      <c r="J19" s="1148"/>
      <c r="K19" s="1148"/>
      <c r="L19" s="1148"/>
      <c r="M19" s="1148"/>
      <c r="N19" s="1148"/>
      <c r="O19" s="1148"/>
      <c r="P19" s="1148"/>
      <c r="Q19" s="1148"/>
      <c r="R19" s="1148"/>
      <c r="S19" s="1148"/>
      <c r="T19" s="1148"/>
      <c r="U19" s="1148"/>
      <c r="V19" s="90"/>
      <c r="W19" s="90"/>
    </row>
    <row r="20" spans="1:26" s="23" customFormat="1" ht="7.15" customHeight="1" x14ac:dyDescent="0.25">
      <c r="A20" s="190"/>
      <c r="B20" s="190"/>
      <c r="C20" s="190"/>
      <c r="D20" s="190"/>
      <c r="E20" s="190"/>
      <c r="F20" s="190"/>
      <c r="G20" s="190"/>
      <c r="H20" s="190"/>
      <c r="I20" s="190"/>
      <c r="J20" s="190"/>
      <c r="K20" s="190"/>
      <c r="L20" s="190"/>
      <c r="M20" s="190"/>
      <c r="N20" s="190"/>
      <c r="O20" s="190"/>
      <c r="P20" s="190"/>
      <c r="Q20" s="190"/>
      <c r="R20" s="190"/>
      <c r="S20" s="190"/>
      <c r="T20" s="190"/>
      <c r="U20" s="190"/>
      <c r="V20" s="90"/>
      <c r="W20" s="90"/>
    </row>
    <row r="21" spans="1:26" ht="12.6" customHeight="1" x14ac:dyDescent="0.2">
      <c r="A21" s="1149" t="s">
        <v>662</v>
      </c>
      <c r="B21" s="1149"/>
      <c r="C21" s="1150"/>
      <c r="D21" s="1149"/>
      <c r="E21" s="1149"/>
      <c r="F21" s="1149"/>
      <c r="G21" s="1149"/>
      <c r="H21" s="1150"/>
      <c r="I21" s="1150"/>
      <c r="J21" s="1149"/>
      <c r="K21" s="1149"/>
      <c r="L21" s="1149"/>
      <c r="M21" s="1149"/>
      <c r="N21" s="1149"/>
      <c r="O21" s="1149"/>
      <c r="P21" s="1149"/>
      <c r="Q21" s="1149"/>
      <c r="R21" s="1149"/>
      <c r="S21" s="1149"/>
      <c r="T21" s="1149"/>
      <c r="U21" s="1149"/>
    </row>
    <row r="22" spans="1:26" ht="20.25" customHeight="1" x14ac:dyDescent="0.2">
      <c r="A22" s="966" t="s">
        <v>248</v>
      </c>
      <c r="B22" s="966" t="s">
        <v>156</v>
      </c>
      <c r="C22" s="966" t="s">
        <v>282</v>
      </c>
      <c r="D22" s="966" t="s">
        <v>157</v>
      </c>
      <c r="E22" s="966" t="s">
        <v>158</v>
      </c>
      <c r="F22" s="997" t="s">
        <v>337</v>
      </c>
      <c r="G22" s="998"/>
      <c r="H22" s="997" t="s">
        <v>277</v>
      </c>
      <c r="I22" s="998"/>
      <c r="J22" s="997" t="s">
        <v>159</v>
      </c>
      <c r="K22" s="998"/>
      <c r="L22" s="976" t="s">
        <v>717</v>
      </c>
      <c r="M22" s="977"/>
      <c r="N22" s="977"/>
      <c r="O22" s="977"/>
      <c r="P22" s="978"/>
      <c r="Q22" s="966" t="s">
        <v>250</v>
      </c>
      <c r="R22" s="969" t="s">
        <v>718</v>
      </c>
      <c r="S22" s="970"/>
      <c r="T22" s="969" t="s">
        <v>719</v>
      </c>
      <c r="U22" s="970"/>
      <c r="V22" s="96"/>
    </row>
    <row r="23" spans="1:26" ht="10.15" customHeight="1" x14ac:dyDescent="0.2">
      <c r="A23" s="967"/>
      <c r="B23" s="967"/>
      <c r="C23" s="967"/>
      <c r="D23" s="967"/>
      <c r="E23" s="967"/>
      <c r="F23" s="971"/>
      <c r="G23" s="972"/>
      <c r="H23" s="971"/>
      <c r="I23" s="972"/>
      <c r="J23" s="971"/>
      <c r="K23" s="972"/>
      <c r="L23" s="1143" t="s">
        <v>160</v>
      </c>
      <c r="M23" s="977"/>
      <c r="N23" s="978"/>
      <c r="O23" s="997" t="s">
        <v>631</v>
      </c>
      <c r="P23" s="998"/>
      <c r="Q23" s="967"/>
      <c r="R23" s="971"/>
      <c r="S23" s="972"/>
      <c r="T23" s="971"/>
      <c r="U23" s="972"/>
      <c r="V23" s="96"/>
    </row>
    <row r="24" spans="1:26" ht="21" customHeight="1" x14ac:dyDescent="0.2">
      <c r="A24" s="967"/>
      <c r="B24" s="967"/>
      <c r="C24" s="967"/>
      <c r="D24" s="967"/>
      <c r="E24" s="967"/>
      <c r="F24" s="973"/>
      <c r="G24" s="974"/>
      <c r="H24" s="973"/>
      <c r="I24" s="974"/>
      <c r="J24" s="973"/>
      <c r="K24" s="974"/>
      <c r="L24" s="979" t="s">
        <v>161</v>
      </c>
      <c r="M24" s="1143" t="s">
        <v>247</v>
      </c>
      <c r="N24" s="978"/>
      <c r="O24" s="973"/>
      <c r="P24" s="974"/>
      <c r="Q24" s="975"/>
      <c r="R24" s="973"/>
      <c r="S24" s="974"/>
      <c r="T24" s="973"/>
      <c r="U24" s="974"/>
      <c r="V24" s="96"/>
    </row>
    <row r="25" spans="1:26" ht="21" x14ac:dyDescent="0.2">
      <c r="A25" s="975"/>
      <c r="B25" s="975"/>
      <c r="C25" s="975"/>
      <c r="D25" s="975"/>
      <c r="E25" s="975"/>
      <c r="F25" s="127" t="s">
        <v>161</v>
      </c>
      <c r="G25" s="128" t="s">
        <v>162</v>
      </c>
      <c r="H25" s="15" t="s">
        <v>161</v>
      </c>
      <c r="I25" s="16" t="s">
        <v>162</v>
      </c>
      <c r="J25" s="127" t="s">
        <v>161</v>
      </c>
      <c r="K25" s="128" t="s">
        <v>162</v>
      </c>
      <c r="L25" s="1142"/>
      <c r="M25" s="160" t="s">
        <v>161</v>
      </c>
      <c r="N25" s="130" t="s">
        <v>162</v>
      </c>
      <c r="O25" s="160" t="s">
        <v>161</v>
      </c>
      <c r="P25" s="130" t="s">
        <v>162</v>
      </c>
      <c r="Q25" s="16" t="s">
        <v>162</v>
      </c>
      <c r="R25" s="15" t="s">
        <v>161</v>
      </c>
      <c r="S25" s="16" t="s">
        <v>162</v>
      </c>
      <c r="T25" s="78" t="s">
        <v>161</v>
      </c>
      <c r="U25" s="79" t="s">
        <v>162</v>
      </c>
      <c r="V25" s="96"/>
    </row>
    <row r="26" spans="1:26" ht="22.5" x14ac:dyDescent="0.25">
      <c r="A26" s="357" t="s">
        <v>242</v>
      </c>
      <c r="B26" s="452" t="s">
        <v>435</v>
      </c>
      <c r="C26" s="357">
        <v>40461</v>
      </c>
      <c r="D26" s="451">
        <v>601729.67000000004</v>
      </c>
      <c r="E26" s="453">
        <v>44073</v>
      </c>
      <c r="F26" s="454">
        <v>22</v>
      </c>
      <c r="G26" s="455">
        <v>880000</v>
      </c>
      <c r="H26" s="456">
        <v>0</v>
      </c>
      <c r="I26" s="456">
        <v>0</v>
      </c>
      <c r="J26" s="456">
        <v>14</v>
      </c>
      <c r="K26" s="456">
        <v>560000</v>
      </c>
      <c r="L26" s="456">
        <v>14</v>
      </c>
      <c r="M26" s="456">
        <v>14</v>
      </c>
      <c r="N26" s="456">
        <v>560000</v>
      </c>
      <c r="O26" s="456">
        <v>8</v>
      </c>
      <c r="P26" s="456">
        <v>320000</v>
      </c>
      <c r="Q26" s="456">
        <f>K26-N26</f>
        <v>0</v>
      </c>
      <c r="R26" s="456">
        <v>24</v>
      </c>
      <c r="S26" s="456">
        <v>512000</v>
      </c>
      <c r="T26" s="456">
        <v>21</v>
      </c>
      <c r="U26" s="456">
        <v>492000</v>
      </c>
      <c r="W26" s="12"/>
      <c r="Y26" s="241"/>
      <c r="Z26" s="260"/>
    </row>
    <row r="27" spans="1:26" ht="15" x14ac:dyDescent="0.25">
      <c r="A27" s="357" t="s">
        <v>540</v>
      </c>
      <c r="B27" s="452" t="s">
        <v>436</v>
      </c>
      <c r="C27" s="271" t="s">
        <v>636</v>
      </c>
      <c r="D27" s="451">
        <v>269122.40000000002</v>
      </c>
      <c r="E27" s="453">
        <v>44073</v>
      </c>
      <c r="F27" s="455">
        <v>8</v>
      </c>
      <c r="G27" s="455">
        <v>318507.28000000003</v>
      </c>
      <c r="H27" s="456">
        <v>0</v>
      </c>
      <c r="I27" s="456">
        <v>0</v>
      </c>
      <c r="J27" s="456">
        <v>5</v>
      </c>
      <c r="K27" s="456">
        <f>269122.39-38097.72-40000</f>
        <v>191024.67</v>
      </c>
      <c r="L27" s="456">
        <v>5</v>
      </c>
      <c r="M27" s="456">
        <v>5</v>
      </c>
      <c r="N27" s="456">
        <f>269122.39-38097.72-40000</f>
        <v>191024.67</v>
      </c>
      <c r="O27" s="456">
        <v>3</v>
      </c>
      <c r="P27" s="456">
        <f>39996+38097.72+40000</f>
        <v>118093.72</v>
      </c>
      <c r="Q27" s="456">
        <f>K27-N27</f>
        <v>0</v>
      </c>
      <c r="R27" s="456">
        <v>11</v>
      </c>
      <c r="S27" s="456">
        <v>210093.55</v>
      </c>
      <c r="T27" s="456">
        <v>11</v>
      </c>
      <c r="U27" s="456">
        <v>208568.59</v>
      </c>
      <c r="W27" s="12"/>
      <c r="X27" s="457"/>
      <c r="Y27" s="260"/>
      <c r="Z27" s="260"/>
    </row>
    <row r="28" spans="1:26" ht="22.5" x14ac:dyDescent="0.25">
      <c r="A28" s="357" t="s">
        <v>541</v>
      </c>
      <c r="B28" s="452" t="s">
        <v>437</v>
      </c>
      <c r="C28" s="271">
        <v>41041</v>
      </c>
      <c r="D28" s="451">
        <v>671362.16</v>
      </c>
      <c r="E28" s="453">
        <v>44073</v>
      </c>
      <c r="F28" s="455">
        <v>24</v>
      </c>
      <c r="G28" s="455">
        <v>943719.81000000017</v>
      </c>
      <c r="H28" s="456">
        <v>0</v>
      </c>
      <c r="I28" s="456">
        <v>0</v>
      </c>
      <c r="J28" s="456">
        <v>14</v>
      </c>
      <c r="K28" s="456">
        <v>473713.92000000004</v>
      </c>
      <c r="L28" s="456">
        <v>14</v>
      </c>
      <c r="M28" s="456">
        <v>14</v>
      </c>
      <c r="N28" s="456">
        <v>473713.92000000004</v>
      </c>
      <c r="O28" s="456">
        <f>8+2</f>
        <v>10</v>
      </c>
      <c r="P28" s="456">
        <f>315255.56+60525.65</f>
        <v>375781.21</v>
      </c>
      <c r="Q28" s="456">
        <f>K28-N28</f>
        <v>0</v>
      </c>
      <c r="R28" s="456">
        <v>12</v>
      </c>
      <c r="S28" s="456">
        <v>219672.67000000004</v>
      </c>
      <c r="T28" s="456">
        <v>8</v>
      </c>
      <c r="U28" s="456">
        <v>137069.9</v>
      </c>
      <c r="W28" s="12"/>
      <c r="Y28" s="241"/>
      <c r="Z28" s="260"/>
    </row>
    <row r="29" spans="1:26" ht="23.45" customHeight="1" x14ac:dyDescent="0.25">
      <c r="A29" s="357" t="s">
        <v>541</v>
      </c>
      <c r="B29" s="452" t="s">
        <v>538</v>
      </c>
      <c r="C29" s="271">
        <v>41062</v>
      </c>
      <c r="D29" s="451">
        <v>309485.85000000003</v>
      </c>
      <c r="E29" s="453">
        <v>44073</v>
      </c>
      <c r="F29" s="455">
        <v>13</v>
      </c>
      <c r="G29" s="455">
        <v>449668.86</v>
      </c>
      <c r="H29" s="456">
        <v>0</v>
      </c>
      <c r="I29" s="456">
        <v>0</v>
      </c>
      <c r="J29" s="456">
        <v>5</v>
      </c>
      <c r="K29" s="456">
        <f>201261.05-29401.42</f>
        <v>171859.63</v>
      </c>
      <c r="L29" s="456">
        <v>5</v>
      </c>
      <c r="M29" s="456">
        <v>5</v>
      </c>
      <c r="N29" s="456">
        <f>201261.05-29401.42</f>
        <v>171859.63</v>
      </c>
      <c r="O29" s="456">
        <v>8</v>
      </c>
      <c r="P29" s="456">
        <f>245824.4+29401.42</f>
        <v>275225.82</v>
      </c>
      <c r="Q29" s="456">
        <f>K29-N29</f>
        <v>0</v>
      </c>
      <c r="R29" s="456">
        <v>6</v>
      </c>
      <c r="S29" s="456">
        <v>135306.38999999998</v>
      </c>
      <c r="T29" s="366">
        <v>5</v>
      </c>
      <c r="U29" s="366">
        <v>117399.15999999999</v>
      </c>
      <c r="W29" s="12"/>
      <c r="Y29" s="260"/>
      <c r="Z29" s="241"/>
    </row>
    <row r="30" spans="1:26" ht="31.9" customHeight="1" x14ac:dyDescent="0.25">
      <c r="A30" s="357" t="s">
        <v>275</v>
      </c>
      <c r="B30" s="452" t="s">
        <v>374</v>
      </c>
      <c r="C30" s="357">
        <v>52221</v>
      </c>
      <c r="D30" s="451">
        <v>399171.2</v>
      </c>
      <c r="E30" s="453">
        <v>44408</v>
      </c>
      <c r="F30" s="455">
        <v>13</v>
      </c>
      <c r="G30" s="455">
        <v>399171.19999999995</v>
      </c>
      <c r="H30" s="456">
        <v>0</v>
      </c>
      <c r="I30" s="456">
        <v>0</v>
      </c>
      <c r="J30" s="456">
        <f>F30-O30</f>
        <v>6</v>
      </c>
      <c r="K30" s="456">
        <v>217333.59999999995</v>
      </c>
      <c r="L30" s="456">
        <v>4</v>
      </c>
      <c r="M30" s="456">
        <v>4</v>
      </c>
      <c r="N30" s="456">
        <v>128371.33</v>
      </c>
      <c r="O30" s="456">
        <v>7</v>
      </c>
      <c r="P30" s="456">
        <v>181837.6</v>
      </c>
      <c r="Q30" s="456">
        <f>K30-N30</f>
        <v>88962.269999999946</v>
      </c>
      <c r="R30" s="456">
        <v>3</v>
      </c>
      <c r="S30" s="456">
        <v>45634.22</v>
      </c>
      <c r="T30" s="456">
        <v>3</v>
      </c>
      <c r="U30" s="456">
        <v>45631.62</v>
      </c>
      <c r="W30" s="12"/>
      <c r="Y30" s="241"/>
      <c r="Z30" s="260"/>
    </row>
    <row r="31" spans="1:26" ht="19.899999999999999" customHeight="1" x14ac:dyDescent="0.25">
      <c r="A31" s="357" t="s">
        <v>236</v>
      </c>
      <c r="B31" s="452" t="s">
        <v>471</v>
      </c>
      <c r="C31" s="357">
        <v>59362</v>
      </c>
      <c r="D31" s="451">
        <v>645129.9</v>
      </c>
      <c r="E31" s="453">
        <v>44592</v>
      </c>
      <c r="F31" s="456">
        <v>33</v>
      </c>
      <c r="G31" s="456">
        <v>817595.75999999989</v>
      </c>
      <c r="H31" s="456">
        <v>0</v>
      </c>
      <c r="I31" s="456">
        <v>0</v>
      </c>
      <c r="J31" s="456">
        <f>F31-O31</f>
        <v>29</v>
      </c>
      <c r="K31" s="456">
        <f>G31-P31</f>
        <v>732415.44</v>
      </c>
      <c r="L31" s="456">
        <v>21</v>
      </c>
      <c r="M31" s="456">
        <v>21</v>
      </c>
      <c r="N31" s="456">
        <v>456486.70999999996</v>
      </c>
      <c r="O31" s="456">
        <v>4</v>
      </c>
      <c r="P31" s="456">
        <v>85180.32</v>
      </c>
      <c r="Q31" s="456">
        <f t="shared" ref="Q31:Q40" si="3">K31-N31</f>
        <v>275928.73</v>
      </c>
      <c r="R31" s="456">
        <v>13</v>
      </c>
      <c r="S31" s="456">
        <v>197110.38</v>
      </c>
      <c r="T31" s="456">
        <v>6</v>
      </c>
      <c r="U31" s="456">
        <v>83662.930000000008</v>
      </c>
      <c r="W31" s="12"/>
      <c r="Y31" s="260"/>
      <c r="Z31" s="241"/>
    </row>
    <row r="32" spans="1:26" ht="22.5" x14ac:dyDescent="0.25">
      <c r="A32" s="357" t="s">
        <v>365</v>
      </c>
      <c r="B32" s="452" t="s">
        <v>525</v>
      </c>
      <c r="C32" s="357">
        <v>66442</v>
      </c>
      <c r="D32" s="451">
        <v>275000</v>
      </c>
      <c r="E32" s="453">
        <v>44660</v>
      </c>
      <c r="F32" s="456">
        <v>2</v>
      </c>
      <c r="G32" s="456">
        <v>500000</v>
      </c>
      <c r="H32" s="456">
        <v>0</v>
      </c>
      <c r="I32" s="456">
        <v>0</v>
      </c>
      <c r="J32" s="456">
        <v>2</v>
      </c>
      <c r="K32" s="456">
        <v>500000</v>
      </c>
      <c r="L32" s="456">
        <v>2</v>
      </c>
      <c r="M32" s="456">
        <v>2</v>
      </c>
      <c r="N32" s="456">
        <v>500000</v>
      </c>
      <c r="O32" s="456">
        <v>0</v>
      </c>
      <c r="P32" s="456">
        <v>0</v>
      </c>
      <c r="Q32" s="456">
        <f t="shared" si="3"/>
        <v>0</v>
      </c>
      <c r="R32" s="456">
        <v>2</v>
      </c>
      <c r="S32" s="456">
        <v>155000</v>
      </c>
      <c r="T32" s="456">
        <v>1</v>
      </c>
      <c r="U32" s="456">
        <v>74985.38</v>
      </c>
      <c r="W32" s="12"/>
      <c r="Y32" s="241"/>
      <c r="Z32" s="459"/>
    </row>
    <row r="33" spans="1:26" ht="41.45" customHeight="1" x14ac:dyDescent="0.25">
      <c r="A33" s="357" t="s">
        <v>63</v>
      </c>
      <c r="B33" s="452" t="s">
        <v>527</v>
      </c>
      <c r="C33" s="357">
        <v>69642</v>
      </c>
      <c r="D33" s="451">
        <v>250000</v>
      </c>
      <c r="E33" s="453">
        <v>44938</v>
      </c>
      <c r="F33" s="456">
        <v>1</v>
      </c>
      <c r="G33" s="456">
        <v>250000</v>
      </c>
      <c r="H33" s="456">
        <v>0</v>
      </c>
      <c r="I33" s="456">
        <v>0</v>
      </c>
      <c r="J33" s="456">
        <v>0</v>
      </c>
      <c r="K33" s="456">
        <v>0</v>
      </c>
      <c r="L33" s="456">
        <v>0</v>
      </c>
      <c r="M33" s="456">
        <v>0</v>
      </c>
      <c r="N33" s="456">
        <v>0</v>
      </c>
      <c r="O33" s="456">
        <v>1</v>
      </c>
      <c r="P33" s="456">
        <v>250000</v>
      </c>
      <c r="Q33" s="456">
        <f t="shared" si="3"/>
        <v>0</v>
      </c>
      <c r="R33" s="456">
        <v>0</v>
      </c>
      <c r="S33" s="456">
        <v>0</v>
      </c>
      <c r="T33" s="456">
        <v>0</v>
      </c>
      <c r="U33" s="456">
        <v>0</v>
      </c>
      <c r="W33" s="12"/>
      <c r="Y33" s="241"/>
      <c r="Z33" s="459"/>
    </row>
    <row r="34" spans="1:26" ht="45" x14ac:dyDescent="0.25">
      <c r="A34" s="357" t="s">
        <v>365</v>
      </c>
      <c r="B34" s="452" t="s">
        <v>526</v>
      </c>
      <c r="C34" s="357">
        <v>69583</v>
      </c>
      <c r="D34" s="451">
        <v>249178.82</v>
      </c>
      <c r="E34" s="453">
        <v>44938</v>
      </c>
      <c r="F34" s="456">
        <v>1</v>
      </c>
      <c r="G34" s="456">
        <v>249178.82</v>
      </c>
      <c r="H34" s="456">
        <v>0</v>
      </c>
      <c r="I34" s="456">
        <v>0</v>
      </c>
      <c r="J34" s="456">
        <v>1</v>
      </c>
      <c r="K34" s="456">
        <v>229178.82</v>
      </c>
      <c r="L34" s="456">
        <v>1</v>
      </c>
      <c r="M34" s="456">
        <v>1</v>
      </c>
      <c r="N34" s="456">
        <v>229178.82</v>
      </c>
      <c r="O34" s="456">
        <v>0</v>
      </c>
      <c r="P34" s="456">
        <v>0</v>
      </c>
      <c r="Q34" s="456">
        <f t="shared" si="3"/>
        <v>0</v>
      </c>
      <c r="R34" s="456">
        <v>0</v>
      </c>
      <c r="S34" s="456">
        <v>0</v>
      </c>
      <c r="T34" s="456">
        <v>0</v>
      </c>
      <c r="U34" s="456">
        <v>0</v>
      </c>
      <c r="W34" s="12"/>
      <c r="Y34" s="241"/>
      <c r="Z34" s="459"/>
    </row>
    <row r="35" spans="1:26" ht="28.15" customHeight="1" x14ac:dyDescent="0.25">
      <c r="A35" s="460" t="s">
        <v>151</v>
      </c>
      <c r="B35" s="461" t="s">
        <v>568</v>
      </c>
      <c r="C35" s="460">
        <v>71947</v>
      </c>
      <c r="D35" s="462">
        <v>293333</v>
      </c>
      <c r="E35" s="463">
        <v>45048</v>
      </c>
      <c r="F35" s="456">
        <v>2</v>
      </c>
      <c r="G35" s="456">
        <v>450000</v>
      </c>
      <c r="H35" s="456">
        <v>0</v>
      </c>
      <c r="I35" s="456">
        <v>0</v>
      </c>
      <c r="J35" s="456">
        <v>2</v>
      </c>
      <c r="K35" s="456">
        <v>450000</v>
      </c>
      <c r="L35" s="456">
        <v>2</v>
      </c>
      <c r="M35" s="456">
        <v>2</v>
      </c>
      <c r="N35" s="456">
        <v>450000</v>
      </c>
      <c r="O35" s="456">
        <v>0</v>
      </c>
      <c r="P35" s="456">
        <v>0</v>
      </c>
      <c r="Q35" s="456">
        <f t="shared" si="3"/>
        <v>0</v>
      </c>
      <c r="R35" s="456">
        <v>0</v>
      </c>
      <c r="S35" s="456">
        <v>0</v>
      </c>
      <c r="T35" s="456">
        <v>0</v>
      </c>
      <c r="U35" s="456">
        <v>0</v>
      </c>
      <c r="W35" s="12"/>
      <c r="Y35" s="241"/>
      <c r="Z35" s="459"/>
    </row>
    <row r="36" spans="1:26" ht="37.15" customHeight="1" x14ac:dyDescent="0.25">
      <c r="A36" s="460" t="s">
        <v>151</v>
      </c>
      <c r="B36" s="461" t="s">
        <v>569</v>
      </c>
      <c r="C36" s="460">
        <v>72004</v>
      </c>
      <c r="D36" s="462">
        <v>250000</v>
      </c>
      <c r="E36" s="463">
        <v>45048</v>
      </c>
      <c r="F36" s="456">
        <v>1</v>
      </c>
      <c r="G36" s="456">
        <v>250000</v>
      </c>
      <c r="H36" s="456">
        <v>0</v>
      </c>
      <c r="I36" s="456">
        <v>0</v>
      </c>
      <c r="J36" s="456">
        <v>1</v>
      </c>
      <c r="K36" s="456">
        <v>238000</v>
      </c>
      <c r="L36" s="456">
        <v>1</v>
      </c>
      <c r="M36" s="456">
        <v>1</v>
      </c>
      <c r="N36" s="456">
        <v>238000</v>
      </c>
      <c r="O36" s="456">
        <v>0</v>
      </c>
      <c r="P36" s="456">
        <v>0</v>
      </c>
      <c r="Q36" s="456">
        <f t="shared" si="3"/>
        <v>0</v>
      </c>
      <c r="R36" s="456">
        <v>0</v>
      </c>
      <c r="S36" s="456">
        <v>0</v>
      </c>
      <c r="T36" s="456">
        <v>0</v>
      </c>
      <c r="U36" s="456">
        <v>0</v>
      </c>
      <c r="W36" s="12"/>
      <c r="Y36" s="241"/>
      <c r="Z36" s="459"/>
    </row>
    <row r="37" spans="1:26" ht="22.5" x14ac:dyDescent="0.25">
      <c r="A37" s="357" t="s">
        <v>242</v>
      </c>
      <c r="B37" s="464" t="s">
        <v>435</v>
      </c>
      <c r="C37" s="465">
        <v>78622</v>
      </c>
      <c r="D37" s="462">
        <v>160000</v>
      </c>
      <c r="E37" s="153">
        <v>45381</v>
      </c>
      <c r="F37" s="366">
        <v>25</v>
      </c>
      <c r="G37" s="366">
        <v>1000000</v>
      </c>
      <c r="H37" s="456">
        <v>3</v>
      </c>
      <c r="I37" s="456">
        <v>120000</v>
      </c>
      <c r="J37" s="456">
        <v>16</v>
      </c>
      <c r="K37" s="456">
        <v>640000</v>
      </c>
      <c r="L37" s="456">
        <v>16</v>
      </c>
      <c r="M37" s="456">
        <v>16</v>
      </c>
      <c r="N37" s="456">
        <v>640000</v>
      </c>
      <c r="O37" s="456">
        <v>6</v>
      </c>
      <c r="P37" s="456">
        <v>240000</v>
      </c>
      <c r="Q37" s="456">
        <f t="shared" si="3"/>
        <v>0</v>
      </c>
      <c r="R37" s="456">
        <v>22</v>
      </c>
      <c r="S37" s="456">
        <v>504000</v>
      </c>
      <c r="T37" s="456">
        <v>13</v>
      </c>
      <c r="U37" s="456">
        <v>364000</v>
      </c>
      <c r="W37" s="12"/>
      <c r="Y37" s="241"/>
      <c r="Z37" s="459"/>
    </row>
    <row r="38" spans="1:26" ht="22.15" customHeight="1" x14ac:dyDescent="0.25">
      <c r="A38" s="357" t="s">
        <v>541</v>
      </c>
      <c r="B38" s="464" t="s">
        <v>538</v>
      </c>
      <c r="C38" s="465">
        <v>78627</v>
      </c>
      <c r="D38" s="462">
        <v>54018.6</v>
      </c>
      <c r="E38" s="153">
        <v>45381</v>
      </c>
      <c r="F38" s="366">
        <v>9</v>
      </c>
      <c r="G38" s="366">
        <v>241986.56</v>
      </c>
      <c r="H38" s="456">
        <v>1</v>
      </c>
      <c r="I38" s="456">
        <v>33411.599999999991</v>
      </c>
      <c r="J38" s="456">
        <v>4</v>
      </c>
      <c r="K38" s="456">
        <v>72892.2</v>
      </c>
      <c r="L38" s="456">
        <v>4</v>
      </c>
      <c r="M38" s="456">
        <v>4</v>
      </c>
      <c r="N38" s="456">
        <v>72892.2</v>
      </c>
      <c r="O38" s="456">
        <v>4</v>
      </c>
      <c r="P38" s="456">
        <v>135682.76</v>
      </c>
      <c r="Q38" s="456">
        <f t="shared" si="3"/>
        <v>0</v>
      </c>
      <c r="R38" s="456">
        <v>4</v>
      </c>
      <c r="S38" s="456">
        <v>48746.31</v>
      </c>
      <c r="T38" s="456">
        <v>1</v>
      </c>
      <c r="U38" s="456">
        <v>14013.45</v>
      </c>
      <c r="W38" s="12"/>
      <c r="Y38" s="241"/>
      <c r="Z38" s="459"/>
    </row>
    <row r="39" spans="1:26" ht="45" customHeight="1" x14ac:dyDescent="0.25">
      <c r="A39" s="357" t="s">
        <v>63</v>
      </c>
      <c r="B39" s="464" t="s">
        <v>527</v>
      </c>
      <c r="C39" s="465">
        <v>78628</v>
      </c>
      <c r="D39" s="462">
        <v>150000</v>
      </c>
      <c r="E39" s="153">
        <v>45381</v>
      </c>
      <c r="F39" s="366">
        <v>0</v>
      </c>
      <c r="G39" s="366">
        <v>0</v>
      </c>
      <c r="H39" s="456">
        <v>0</v>
      </c>
      <c r="I39" s="456">
        <v>0</v>
      </c>
      <c r="J39" s="456">
        <v>0</v>
      </c>
      <c r="K39" s="466">
        <v>0</v>
      </c>
      <c r="L39" s="456">
        <v>0</v>
      </c>
      <c r="M39" s="456">
        <v>0</v>
      </c>
      <c r="N39" s="456">
        <v>0</v>
      </c>
      <c r="O39" s="456">
        <v>0</v>
      </c>
      <c r="P39" s="456">
        <v>0</v>
      </c>
      <c r="Q39" s="456">
        <f t="shared" si="3"/>
        <v>0</v>
      </c>
      <c r="R39" s="456">
        <v>0</v>
      </c>
      <c r="S39" s="456">
        <v>0</v>
      </c>
      <c r="T39" s="456">
        <v>0</v>
      </c>
      <c r="U39" s="456">
        <v>0</v>
      </c>
      <c r="W39" s="12"/>
      <c r="Y39" s="241"/>
      <c r="Z39" s="459"/>
    </row>
    <row r="40" spans="1:26" ht="22.9" customHeight="1" x14ac:dyDescent="0.25">
      <c r="A40" s="357" t="s">
        <v>541</v>
      </c>
      <c r="B40" s="464" t="s">
        <v>538</v>
      </c>
      <c r="C40" s="465">
        <v>78642</v>
      </c>
      <c r="D40" s="462">
        <v>70000</v>
      </c>
      <c r="E40" s="153">
        <v>45381</v>
      </c>
      <c r="F40" s="366">
        <v>12</v>
      </c>
      <c r="G40" s="366">
        <v>432446.15</v>
      </c>
      <c r="H40" s="456">
        <v>0</v>
      </c>
      <c r="I40" s="456">
        <v>0</v>
      </c>
      <c r="J40" s="456">
        <v>8</v>
      </c>
      <c r="K40" s="456">
        <v>308086.91000000003</v>
      </c>
      <c r="L40" s="456">
        <v>8</v>
      </c>
      <c r="M40" s="456">
        <v>8</v>
      </c>
      <c r="N40" s="456">
        <v>308086.91000000003</v>
      </c>
      <c r="O40" s="456">
        <v>4</v>
      </c>
      <c r="P40" s="456">
        <v>118390.01000000001</v>
      </c>
      <c r="Q40" s="456">
        <f t="shared" si="3"/>
        <v>0</v>
      </c>
      <c r="R40" s="456">
        <v>4</v>
      </c>
      <c r="S40" s="456">
        <v>97209</v>
      </c>
      <c r="T40" s="456">
        <v>3</v>
      </c>
      <c r="U40" s="456">
        <v>57209</v>
      </c>
      <c r="W40" s="12"/>
      <c r="Y40" s="241"/>
      <c r="Z40" s="459"/>
    </row>
    <row r="41" spans="1:26" x14ac:dyDescent="0.2">
      <c r="A41" s="19" t="s">
        <v>1</v>
      </c>
      <c r="B41" s="19"/>
      <c r="C41" s="60"/>
      <c r="D41" s="20">
        <f>SUM(D26:D40)</f>
        <v>4647531.5999999996</v>
      </c>
      <c r="E41" s="20"/>
      <c r="F41" s="20">
        <f t="shared" ref="F41:U41" si="4">SUM(F26:F40)</f>
        <v>166</v>
      </c>
      <c r="G41" s="20">
        <f t="shared" si="4"/>
        <v>7182274.4400000004</v>
      </c>
      <c r="H41" s="20">
        <f t="shared" si="4"/>
        <v>4</v>
      </c>
      <c r="I41" s="20">
        <f t="shared" si="4"/>
        <v>153411.59999999998</v>
      </c>
      <c r="J41" s="20">
        <f t="shared" si="4"/>
        <v>107</v>
      </c>
      <c r="K41" s="20">
        <f t="shared" si="4"/>
        <v>4784505.1900000004</v>
      </c>
      <c r="L41" s="20">
        <f t="shared" si="4"/>
        <v>97</v>
      </c>
      <c r="M41" s="20">
        <f t="shared" si="4"/>
        <v>97</v>
      </c>
      <c r="N41" s="20">
        <f t="shared" si="4"/>
        <v>4419614.1900000004</v>
      </c>
      <c r="O41" s="20">
        <f t="shared" si="4"/>
        <v>55</v>
      </c>
      <c r="P41" s="20">
        <f t="shared" si="4"/>
        <v>2100191.4400000004</v>
      </c>
      <c r="Q41" s="20">
        <f t="shared" si="4"/>
        <v>364890.99999999994</v>
      </c>
      <c r="R41" s="20">
        <f t="shared" si="4"/>
        <v>101</v>
      </c>
      <c r="S41" s="20">
        <f t="shared" si="4"/>
        <v>2124772.52</v>
      </c>
      <c r="T41" s="530">
        <f t="shared" si="4"/>
        <v>72</v>
      </c>
      <c r="U41" s="530">
        <f t="shared" si="4"/>
        <v>1594540.03</v>
      </c>
    </row>
    <row r="42" spans="1:26" customFormat="1" ht="15" customHeight="1" x14ac:dyDescent="0.25">
      <c r="A42" s="219" t="s">
        <v>390</v>
      </c>
      <c r="B42" s="140"/>
      <c r="C42" s="140"/>
      <c r="D42" s="140"/>
      <c r="E42" s="140"/>
      <c r="F42" s="140"/>
      <c r="G42" s="140"/>
      <c r="H42" s="140"/>
      <c r="I42" s="140"/>
      <c r="J42" s="140"/>
      <c r="K42" s="140"/>
      <c r="L42" s="140"/>
      <c r="M42" s="140"/>
      <c r="N42" s="140"/>
      <c r="O42" s="140"/>
      <c r="P42" s="140"/>
      <c r="Q42" s="140"/>
      <c r="R42" s="140"/>
      <c r="Z42" s="241"/>
    </row>
    <row r="43" spans="1:26" customFormat="1" ht="15" customHeight="1" x14ac:dyDescent="0.25">
      <c r="A43" s="1154" t="s">
        <v>637</v>
      </c>
      <c r="B43" s="1154"/>
      <c r="C43" s="1154"/>
      <c r="D43" s="1154"/>
      <c r="E43" s="1154"/>
      <c r="F43" s="1154"/>
      <c r="G43" s="1154"/>
      <c r="H43" s="1154"/>
      <c r="I43" s="1154"/>
      <c r="J43" s="1154"/>
      <c r="K43" s="1154"/>
      <c r="L43" s="1154"/>
      <c r="M43" s="1154"/>
      <c r="N43" s="1154"/>
      <c r="O43" s="1154"/>
      <c r="P43" s="1154"/>
      <c r="Q43" s="1154"/>
      <c r="R43" s="1154"/>
      <c r="S43" s="1154"/>
      <c r="T43" s="1154"/>
      <c r="U43" s="1154"/>
      <c r="Z43" s="241"/>
    </row>
    <row r="44" spans="1:26" s="23" customFormat="1" ht="25.15" customHeight="1" x14ac:dyDescent="0.25">
      <c r="A44" s="1148" t="s">
        <v>732</v>
      </c>
      <c r="B44" s="1148"/>
      <c r="C44" s="1148"/>
      <c r="D44" s="1148"/>
      <c r="E44" s="1148"/>
      <c r="F44" s="1148"/>
      <c r="G44" s="1148"/>
      <c r="H44" s="1148"/>
      <c r="I44" s="1148"/>
      <c r="J44" s="1148"/>
      <c r="K44" s="1148"/>
      <c r="L44" s="1148"/>
      <c r="M44" s="1148"/>
      <c r="N44" s="1148"/>
      <c r="O44" s="1148"/>
      <c r="P44" s="1148"/>
      <c r="Q44" s="1148"/>
      <c r="R44" s="1148"/>
      <c r="S44" s="1148"/>
      <c r="T44" s="1148"/>
      <c r="U44" s="1148"/>
      <c r="V44" s="90"/>
      <c r="X44" s="90"/>
      <c r="Z44" s="260"/>
    </row>
  </sheetData>
  <mergeCells count="37">
    <mergeCell ref="L23:N23"/>
    <mergeCell ref="L24:L25"/>
    <mergeCell ref="F22:G24"/>
    <mergeCell ref="J22:K24"/>
    <mergeCell ref="L22:P22"/>
    <mergeCell ref="T22:U24"/>
    <mergeCell ref="A1:U1"/>
    <mergeCell ref="A2:A5"/>
    <mergeCell ref="B2:B5"/>
    <mergeCell ref="C2:C5"/>
    <mergeCell ref="D2:D5"/>
    <mergeCell ref="E2:E5"/>
    <mergeCell ref="F2:G4"/>
    <mergeCell ref="J2:K4"/>
    <mergeCell ref="L2:P2"/>
    <mergeCell ref="Q2:Q4"/>
    <mergeCell ref="O3:P4"/>
    <mergeCell ref="L4:L5"/>
    <mergeCell ref="H2:I4"/>
    <mergeCell ref="Q22:Q24"/>
    <mergeCell ref="R22:S24"/>
    <mergeCell ref="A43:U43"/>
    <mergeCell ref="A44:U44"/>
    <mergeCell ref="T2:U4"/>
    <mergeCell ref="L3:N3"/>
    <mergeCell ref="R2:S4"/>
    <mergeCell ref="A19:U19"/>
    <mergeCell ref="M24:N24"/>
    <mergeCell ref="M4:N4"/>
    <mergeCell ref="O23:P24"/>
    <mergeCell ref="C22:C25"/>
    <mergeCell ref="H22:I24"/>
    <mergeCell ref="A21:U21"/>
    <mergeCell ref="A22:A25"/>
    <mergeCell ref="B22:B25"/>
    <mergeCell ref="D22:D25"/>
    <mergeCell ref="E22:E25"/>
  </mergeCells>
  <phoneticPr fontId="33" type="noConversion"/>
  <pageMargins left="0.70866141732283472" right="0.70866141732283472" top="0.74803149606299213" bottom="0.74803149606299213" header="0.31496062992125984" footer="0.31496062992125984"/>
  <pageSetup paperSize="9" scale="80" fitToHeight="0" orientation="landscape" r:id="rId1"/>
  <rowBreaks count="1" manualBreakCount="1">
    <brk id="19"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C2D82-2C16-43B0-ABFB-1014D8E46BD9}">
  <dimension ref="A1:H19"/>
  <sheetViews>
    <sheetView tabSelected="1" view="pageBreakPreview" topLeftCell="A11" zoomScale="115" zoomScaleNormal="130" zoomScaleSheetLayoutView="115" workbookViewId="0">
      <selection activeCell="A17" sqref="A17:XFD17"/>
    </sheetView>
  </sheetViews>
  <sheetFormatPr defaultRowHeight="15" x14ac:dyDescent="0.25"/>
  <cols>
    <col min="2" max="2" width="33.140625" customWidth="1"/>
    <col min="3" max="6" width="13.42578125" customWidth="1"/>
    <col min="7" max="7" width="10.85546875" customWidth="1"/>
    <col min="8" max="8" width="13.42578125" customWidth="1"/>
  </cols>
  <sheetData>
    <row r="1" spans="1:8" x14ac:dyDescent="0.25">
      <c r="A1" s="796" t="s">
        <v>709</v>
      </c>
      <c r="B1" s="796"/>
      <c r="C1" s="796"/>
      <c r="D1" s="796"/>
      <c r="E1" s="796"/>
      <c r="F1" s="796"/>
      <c r="G1" s="796"/>
      <c r="H1" s="796"/>
    </row>
    <row r="2" spans="1:8" x14ac:dyDescent="0.25">
      <c r="A2" s="772" t="s">
        <v>115</v>
      </c>
      <c r="B2" s="818" t="s">
        <v>0</v>
      </c>
      <c r="C2" s="818" t="s">
        <v>619</v>
      </c>
      <c r="D2" s="818"/>
      <c r="E2" s="818"/>
      <c r="F2" s="818"/>
      <c r="G2" s="818"/>
      <c r="H2" s="818"/>
    </row>
    <row r="3" spans="1:8" ht="33.75" x14ac:dyDescent="0.25">
      <c r="A3" s="773"/>
      <c r="B3" s="818"/>
      <c r="C3" s="167" t="s">
        <v>504</v>
      </c>
      <c r="D3" s="167" t="s">
        <v>510</v>
      </c>
      <c r="E3" s="167" t="s">
        <v>284</v>
      </c>
      <c r="F3" s="167" t="s">
        <v>505</v>
      </c>
      <c r="G3" s="264" t="s">
        <v>511</v>
      </c>
      <c r="H3" s="204" t="s">
        <v>506</v>
      </c>
    </row>
    <row r="4" spans="1:8" x14ac:dyDescent="0.25">
      <c r="A4" s="774"/>
      <c r="B4" s="204"/>
      <c r="C4" s="261" t="s">
        <v>305</v>
      </c>
      <c r="D4" s="261" t="s">
        <v>306</v>
      </c>
      <c r="E4" s="261" t="s">
        <v>307</v>
      </c>
      <c r="F4" s="265" t="s">
        <v>507</v>
      </c>
      <c r="G4" s="265" t="s">
        <v>309</v>
      </c>
      <c r="H4" s="261" t="s">
        <v>508</v>
      </c>
    </row>
    <row r="5" spans="1:8" ht="22.5" x14ac:dyDescent="0.25">
      <c r="A5" s="95" t="s">
        <v>134</v>
      </c>
      <c r="B5" s="64" t="s">
        <v>10</v>
      </c>
      <c r="C5" s="256">
        <v>6200000</v>
      </c>
      <c r="D5" s="256">
        <v>6200000</v>
      </c>
      <c r="E5" s="268">
        <v>0</v>
      </c>
      <c r="F5" s="542">
        <f t="shared" ref="F5:F11" si="0">E5/C5</f>
        <v>0</v>
      </c>
      <c r="G5" s="278">
        <v>0</v>
      </c>
      <c r="H5" s="578"/>
    </row>
    <row r="6" spans="1:8" ht="33.75" x14ac:dyDescent="0.25">
      <c r="A6" s="95" t="s">
        <v>136</v>
      </c>
      <c r="B6" s="64" t="s">
        <v>12</v>
      </c>
      <c r="C6" s="256">
        <v>5000000</v>
      </c>
      <c r="D6" s="256">
        <v>5000000</v>
      </c>
      <c r="E6" s="268">
        <v>0</v>
      </c>
      <c r="F6" s="542">
        <f t="shared" si="0"/>
        <v>0</v>
      </c>
      <c r="G6" s="268">
        <v>0</v>
      </c>
      <c r="H6" s="540">
        <f t="shared" ref="H6:H11" si="1">G6/C6</f>
        <v>0</v>
      </c>
    </row>
    <row r="7" spans="1:8" x14ac:dyDescent="0.25">
      <c r="A7" s="95" t="s">
        <v>138</v>
      </c>
      <c r="B7" s="64" t="s">
        <v>16</v>
      </c>
      <c r="C7" s="236">
        <v>1200000</v>
      </c>
      <c r="D7" s="236">
        <v>1200000</v>
      </c>
      <c r="E7" s="268">
        <v>0</v>
      </c>
      <c r="F7" s="542">
        <f t="shared" si="0"/>
        <v>0</v>
      </c>
      <c r="G7" s="268">
        <v>0</v>
      </c>
      <c r="H7" s="540">
        <f t="shared" si="1"/>
        <v>0</v>
      </c>
    </row>
    <row r="8" spans="1:8" ht="22.5" x14ac:dyDescent="0.25">
      <c r="A8" s="95" t="s">
        <v>139</v>
      </c>
      <c r="B8" s="64" t="s">
        <v>18</v>
      </c>
      <c r="C8" s="100">
        <v>11300000</v>
      </c>
      <c r="D8" s="100">
        <v>11300000</v>
      </c>
      <c r="E8" s="268">
        <v>0</v>
      </c>
      <c r="F8" s="542">
        <f t="shared" si="0"/>
        <v>0</v>
      </c>
      <c r="G8" s="278">
        <v>0</v>
      </c>
      <c r="H8" s="540">
        <f t="shared" si="1"/>
        <v>0</v>
      </c>
    </row>
    <row r="9" spans="1:8" ht="22.5" x14ac:dyDescent="0.25">
      <c r="A9" s="95" t="s">
        <v>40</v>
      </c>
      <c r="B9" s="64" t="s">
        <v>530</v>
      </c>
      <c r="C9" s="256">
        <v>10000000</v>
      </c>
      <c r="D9" s="256">
        <v>10000000</v>
      </c>
      <c r="E9" s="278">
        <v>10000000</v>
      </c>
      <c r="F9" s="542">
        <f t="shared" si="0"/>
        <v>1</v>
      </c>
      <c r="G9" s="288">
        <v>6974696.0999999996</v>
      </c>
      <c r="H9" s="540">
        <f t="shared" si="1"/>
        <v>0.69746960999999996</v>
      </c>
    </row>
    <row r="10" spans="1:8" x14ac:dyDescent="0.25">
      <c r="A10" s="94" t="s">
        <v>65</v>
      </c>
      <c r="B10" s="66" t="s">
        <v>66</v>
      </c>
      <c r="C10" s="236">
        <v>125817</v>
      </c>
      <c r="D10" s="236">
        <v>125817</v>
      </c>
      <c r="E10" s="278">
        <v>0</v>
      </c>
      <c r="F10" s="542">
        <f t="shared" si="0"/>
        <v>0</v>
      </c>
      <c r="G10" s="278">
        <v>0</v>
      </c>
      <c r="H10" s="540">
        <f t="shared" si="1"/>
        <v>0</v>
      </c>
    </row>
    <row r="11" spans="1:8" ht="22.5" x14ac:dyDescent="0.25">
      <c r="A11" s="834" t="s">
        <v>67</v>
      </c>
      <c r="B11" s="66" t="s">
        <v>152</v>
      </c>
      <c r="C11" s="884">
        <v>11604813</v>
      </c>
      <c r="D11" s="884">
        <v>11604813</v>
      </c>
      <c r="E11" s="886">
        <v>0</v>
      </c>
      <c r="F11" s="882">
        <f t="shared" si="0"/>
        <v>0</v>
      </c>
      <c r="G11" s="886">
        <v>0</v>
      </c>
      <c r="H11" s="882">
        <f t="shared" si="1"/>
        <v>0</v>
      </c>
    </row>
    <row r="12" spans="1:8" x14ac:dyDescent="0.25">
      <c r="A12" s="821"/>
      <c r="B12" s="66" t="s">
        <v>153</v>
      </c>
      <c r="C12" s="885"/>
      <c r="D12" s="885"/>
      <c r="E12" s="887"/>
      <c r="F12" s="883"/>
      <c r="G12" s="887"/>
      <c r="H12" s="883"/>
    </row>
    <row r="13" spans="1:8" ht="33.75" x14ac:dyDescent="0.25">
      <c r="A13" s="94" t="s">
        <v>416</v>
      </c>
      <c r="B13" s="66" t="s">
        <v>70</v>
      </c>
      <c r="C13" s="236">
        <v>899325</v>
      </c>
      <c r="D13" s="236">
        <v>899325</v>
      </c>
      <c r="E13" s="277">
        <v>0</v>
      </c>
      <c r="F13" s="542">
        <f>E13/C13</f>
        <v>0</v>
      </c>
      <c r="G13" s="278">
        <v>0</v>
      </c>
      <c r="H13" s="540">
        <f>G13/C13</f>
        <v>0</v>
      </c>
    </row>
    <row r="14" spans="1:8" ht="22.5" x14ac:dyDescent="0.25">
      <c r="A14" s="94" t="s">
        <v>417</v>
      </c>
      <c r="B14" s="66" t="s">
        <v>72</v>
      </c>
      <c r="C14" s="236">
        <v>5070045</v>
      </c>
      <c r="D14" s="236">
        <v>5070045</v>
      </c>
      <c r="E14" s="277">
        <v>0</v>
      </c>
      <c r="F14" s="542">
        <f>E14/C14</f>
        <v>0</v>
      </c>
      <c r="G14" s="268">
        <v>0</v>
      </c>
      <c r="H14" s="540">
        <f>G14/C14</f>
        <v>0</v>
      </c>
    </row>
    <row r="15" spans="1:8" ht="33.75" x14ac:dyDescent="0.25">
      <c r="A15" s="67" t="s">
        <v>315</v>
      </c>
      <c r="B15" s="68" t="s">
        <v>384</v>
      </c>
      <c r="C15" s="236">
        <v>2000000</v>
      </c>
      <c r="D15" s="236">
        <v>2000000</v>
      </c>
      <c r="E15" s="277">
        <v>956000</v>
      </c>
      <c r="F15" s="542">
        <f>E15/C15</f>
        <v>0.47799999999999998</v>
      </c>
      <c r="G15" s="278">
        <v>891000</v>
      </c>
      <c r="H15" s="540">
        <f>G15/C15</f>
        <v>0.44550000000000001</v>
      </c>
    </row>
    <row r="16" spans="1:8" x14ac:dyDescent="0.25">
      <c r="A16" s="155" t="s">
        <v>128</v>
      </c>
      <c r="B16" s="156"/>
      <c r="C16" s="289">
        <f>SUM(C5:C15)</f>
        <v>53400000</v>
      </c>
      <c r="D16" s="289">
        <f>SUM(D5:D15)</f>
        <v>53400000</v>
      </c>
      <c r="E16" s="289">
        <f>SUM(E5:E15)</f>
        <v>10956000</v>
      </c>
      <c r="F16" s="55">
        <f>E16/C16</f>
        <v>0.2051685393258427</v>
      </c>
      <c r="G16" s="289">
        <f>SUM(G5:G15)</f>
        <v>7865696.0999999996</v>
      </c>
      <c r="H16" s="55">
        <f>G16/C16</f>
        <v>0.14729767977528088</v>
      </c>
    </row>
    <row r="17" spans="1:8" ht="26.25" customHeight="1" x14ac:dyDescent="0.25">
      <c r="A17" s="797" t="s">
        <v>602</v>
      </c>
      <c r="B17" s="797"/>
      <c r="C17" s="797"/>
      <c r="D17" s="797"/>
      <c r="E17" s="797"/>
      <c r="F17" s="797"/>
      <c r="G17" s="797"/>
      <c r="H17" s="797"/>
    </row>
    <row r="18" spans="1:8" ht="23.25" customHeight="1" x14ac:dyDescent="0.25">
      <c r="A18" s="799" t="s">
        <v>710</v>
      </c>
      <c r="B18" s="799"/>
      <c r="C18" s="799"/>
      <c r="D18" s="799"/>
      <c r="E18" s="799"/>
      <c r="F18" s="799"/>
      <c r="G18" s="799"/>
      <c r="H18" s="799"/>
    </row>
    <row r="19" spans="1:8" ht="25.5" customHeight="1" x14ac:dyDescent="0.25">
      <c r="A19" s="826" t="s">
        <v>738</v>
      </c>
      <c r="B19" s="826"/>
      <c r="C19" s="826"/>
      <c r="D19" s="826"/>
      <c r="E19" s="826"/>
      <c r="F19" s="826"/>
      <c r="G19" s="826"/>
      <c r="H19" s="826"/>
    </row>
  </sheetData>
  <mergeCells count="14">
    <mergeCell ref="H11:H12"/>
    <mergeCell ref="A17:H17"/>
    <mergeCell ref="A18:H18"/>
    <mergeCell ref="A19:H19"/>
    <mergeCell ref="A1:H1"/>
    <mergeCell ref="A2:A4"/>
    <mergeCell ref="B2:B3"/>
    <mergeCell ref="C2:H2"/>
    <mergeCell ref="A11:A12"/>
    <mergeCell ref="C11:C12"/>
    <mergeCell ref="D11:D12"/>
    <mergeCell ref="E11:E12"/>
    <mergeCell ref="F11:F12"/>
    <mergeCell ref="G11:G12"/>
  </mergeCells>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S62"/>
  <sheetViews>
    <sheetView view="pageBreakPreview" zoomScaleNormal="100" zoomScaleSheetLayoutView="100" workbookViewId="0">
      <pane ySplit="3" topLeftCell="A53" activePane="bottomLeft" state="frozen"/>
      <selection activeCell="A27" sqref="A27:AA27"/>
      <selection pane="bottomLeft" activeCell="A56" sqref="A56:G56"/>
    </sheetView>
  </sheetViews>
  <sheetFormatPr defaultColWidth="9.140625" defaultRowHeight="15" x14ac:dyDescent="0.25"/>
  <cols>
    <col min="1" max="1" width="13.140625" customWidth="1"/>
    <col min="2" max="2" width="34" style="89" customWidth="1"/>
    <col min="3" max="3" width="13.7109375" style="7" customWidth="1"/>
    <col min="4" max="4" width="17.140625" style="7" customWidth="1"/>
    <col min="5" max="5" width="15.28515625" style="8" customWidth="1"/>
    <col min="6" max="6" width="13.42578125" style="8" customWidth="1"/>
    <col min="7" max="7" width="14.28515625" style="8" bestFit="1" customWidth="1"/>
    <col min="8" max="8" width="9.140625" style="23"/>
    <col min="9" max="9" width="9.85546875" style="23" bestFit="1" customWidth="1"/>
    <col min="10" max="11" width="14.85546875" style="23" bestFit="1" customWidth="1"/>
    <col min="12" max="279" width="9.140625" style="23"/>
  </cols>
  <sheetData>
    <row r="1" spans="1:11" ht="33.75" customHeight="1" x14ac:dyDescent="0.25">
      <c r="A1" s="889" t="s">
        <v>711</v>
      </c>
      <c r="B1" s="889"/>
      <c r="C1" s="889"/>
      <c r="D1" s="889"/>
      <c r="E1" s="889"/>
      <c r="F1" s="889"/>
      <c r="G1" s="889"/>
    </row>
    <row r="2" spans="1:11" ht="15.75" customHeight="1" x14ac:dyDescent="0.25">
      <c r="A2" s="818" t="s">
        <v>115</v>
      </c>
      <c r="B2" s="818" t="s">
        <v>0</v>
      </c>
      <c r="C2" s="867" t="s">
        <v>520</v>
      </c>
      <c r="D2" s="867" t="s">
        <v>497</v>
      </c>
      <c r="E2" s="818" t="s">
        <v>284</v>
      </c>
      <c r="F2" s="818" t="s">
        <v>254</v>
      </c>
      <c r="G2" s="772" t="s">
        <v>630</v>
      </c>
    </row>
    <row r="3" spans="1:11" ht="37.5" customHeight="1" x14ac:dyDescent="0.25">
      <c r="A3" s="818"/>
      <c r="B3" s="818"/>
      <c r="C3" s="867"/>
      <c r="D3" s="867"/>
      <c r="E3" s="818"/>
      <c r="F3" s="818"/>
      <c r="G3" s="774"/>
    </row>
    <row r="4" spans="1:11" ht="22.5" x14ac:dyDescent="0.25">
      <c r="A4" s="95" t="s">
        <v>130</v>
      </c>
      <c r="B4" s="106" t="s">
        <v>3</v>
      </c>
      <c r="C4" s="100">
        <f>'Avanzamento_ SP_totale'!E6-'Avanzamento_ SP_totale'!K6</f>
        <v>1120082.672</v>
      </c>
      <c r="D4" s="113">
        <v>2100155.0099999998</v>
      </c>
      <c r="E4" s="69">
        <f>' M01-M02'!M7</f>
        <v>1777526.3800000001</v>
      </c>
      <c r="F4" s="202">
        <f>E4/D4</f>
        <v>0.84637865849721272</v>
      </c>
      <c r="G4" s="288">
        <f>C4-E4</f>
        <v>-657443.7080000001</v>
      </c>
    </row>
    <row r="5" spans="1:11" ht="22.5" x14ac:dyDescent="0.25">
      <c r="A5" s="95" t="s">
        <v>131</v>
      </c>
      <c r="B5" s="106" t="s">
        <v>5</v>
      </c>
      <c r="C5" s="100">
        <f>'Avanzamento_ SP_totale'!E7-'Avanzamento_ SP_totale'!K7</f>
        <v>2789739.24</v>
      </c>
      <c r="D5" s="100">
        <v>3458258.34</v>
      </c>
      <c r="E5" s="69">
        <f>' M01-M02'!M16</f>
        <v>2741971.75</v>
      </c>
      <c r="F5" s="202">
        <f>E5/D5</f>
        <v>0.79287649458831355</v>
      </c>
      <c r="G5" s="288">
        <f>C5-E5</f>
        <v>47767.490000000224</v>
      </c>
      <c r="H5" s="287"/>
    </row>
    <row r="6" spans="1:11" ht="22.5" x14ac:dyDescent="0.25">
      <c r="A6" s="95" t="s">
        <v>132</v>
      </c>
      <c r="B6" s="106" t="s">
        <v>7</v>
      </c>
      <c r="C6" s="100">
        <f>'Avanzamento_ SP_totale'!E8-'Avanzamento_ SP_totale'!K8</f>
        <v>1291752.1985714287</v>
      </c>
      <c r="D6" s="100">
        <v>1349851.24</v>
      </c>
      <c r="E6" s="203">
        <f>'M03'!M14</f>
        <v>1789836.42</v>
      </c>
      <c r="F6" s="202">
        <f>E6/D6</f>
        <v>1.3259508655190775</v>
      </c>
      <c r="G6" s="288">
        <f>C6-E6</f>
        <v>-498084.22142857127</v>
      </c>
    </row>
    <row r="7" spans="1:11" ht="33.75" x14ac:dyDescent="0.25">
      <c r="A7" s="95" t="s">
        <v>133</v>
      </c>
      <c r="B7" s="106" t="s">
        <v>8</v>
      </c>
      <c r="C7" s="100">
        <f>'Avanzamento_ SP_totale'!E9-'Avanzamento_ SP_totale'!K9</f>
        <v>1275793.0290476191</v>
      </c>
      <c r="D7" s="113">
        <v>1341673.3900000001</v>
      </c>
      <c r="E7" s="203">
        <f>'M03'!M25</f>
        <v>1569873.3900000001</v>
      </c>
      <c r="F7" s="202">
        <f>E7/D7</f>
        <v>1.1700861041896344</v>
      </c>
      <c r="G7" s="288">
        <f>C7-E7</f>
        <v>-294080.36095238104</v>
      </c>
    </row>
    <row r="8" spans="1:11" ht="22.5" x14ac:dyDescent="0.25">
      <c r="A8" s="95" t="s">
        <v>134</v>
      </c>
      <c r="B8" s="106" t="s">
        <v>10</v>
      </c>
      <c r="C8" s="100">
        <f>('Avanzamento_ SP_totale'!E10)-'Avanzamento_ SP_totale'!K10+'Avanzamento_ SP_totale'!G10</f>
        <v>182431252.60678571</v>
      </c>
      <c r="D8" s="100">
        <f>'Avanzamento_ SP_totale'!J10-'Avanzamento_ SP_totale'!K10-'Avanzamento_ SP_totale'!I10</f>
        <v>182431252.60678571</v>
      </c>
      <c r="E8" s="114">
        <f>'M04'!M12</f>
        <v>217610346.32000005</v>
      </c>
      <c r="F8" s="202">
        <f>E8/D8</f>
        <v>1.1928347978240315</v>
      </c>
      <c r="G8" s="288">
        <f>C8-E8</f>
        <v>-35179093.713214338</v>
      </c>
      <c r="I8" s="205"/>
      <c r="J8" s="205"/>
      <c r="K8" s="205"/>
    </row>
    <row r="9" spans="1:11" ht="33.75" x14ac:dyDescent="0.25">
      <c r="A9" s="95" t="s">
        <v>135</v>
      </c>
      <c r="B9" s="106" t="s">
        <v>11</v>
      </c>
      <c r="C9" s="100">
        <f>'Avanzamento_ SP_totale'!E11-'Avanzamento_ SP_totale'!K11</f>
        <v>40307613.840000011</v>
      </c>
      <c r="D9" s="113">
        <v>50474703.640000001</v>
      </c>
      <c r="E9" s="114">
        <f>'M04'!M23</f>
        <v>51933233.119999997</v>
      </c>
      <c r="F9" s="202">
        <f t="shared" ref="F9:F14" si="0">E9/D9</f>
        <v>1.0288962465317804</v>
      </c>
      <c r="G9" s="288">
        <f>C9-D9</f>
        <v>-10167089.79999999</v>
      </c>
      <c r="I9" s="205"/>
      <c r="J9" s="205"/>
    </row>
    <row r="10" spans="1:11" s="23" customFormat="1" ht="33.75" x14ac:dyDescent="0.25">
      <c r="A10" s="821" t="s">
        <v>136</v>
      </c>
      <c r="B10" s="117" t="s">
        <v>12</v>
      </c>
      <c r="C10" s="100">
        <f>'Avanzamento_ SP_FEASR'!C11-'Avanzamento_ SP_totale'!K12</f>
        <v>29951239.783333335</v>
      </c>
      <c r="D10" s="258">
        <v>46064066.75</v>
      </c>
      <c r="E10" s="114">
        <f>'M04'!M30</f>
        <v>42941633.430000022</v>
      </c>
      <c r="F10" s="65">
        <f t="shared" si="0"/>
        <v>0.93221542212184338</v>
      </c>
      <c r="G10" s="288">
        <f>C10-D10</f>
        <v>-16112826.966666665</v>
      </c>
      <c r="J10" s="205"/>
    </row>
    <row r="11" spans="1:11" ht="22.5" x14ac:dyDescent="0.25">
      <c r="A11" s="821"/>
      <c r="B11" s="106" t="s">
        <v>13</v>
      </c>
      <c r="C11" s="100">
        <f>'Avanzamento_ SP_totale'!E13-'Avanzamento_ SP_totale'!K13</f>
        <v>11921203.759047618</v>
      </c>
      <c r="D11" s="258">
        <v>14785113.039999999</v>
      </c>
      <c r="E11" s="203">
        <f>'M04'!M31+'M04'!M32</f>
        <v>8440195.4299999997</v>
      </c>
      <c r="F11" s="65">
        <f t="shared" si="0"/>
        <v>0.57085768686148641</v>
      </c>
      <c r="G11" s="288">
        <f>C11-D11</f>
        <v>-2863909.280952381</v>
      </c>
    </row>
    <row r="12" spans="1:11" x14ac:dyDescent="0.25">
      <c r="A12" s="95" t="s">
        <v>137</v>
      </c>
      <c r="B12" s="106" t="s">
        <v>15</v>
      </c>
      <c r="C12" s="100">
        <f>'Avanzamento_ SP_totale'!E14-'Avanzamento_ SP_totale'!K14</f>
        <v>2622923.6976190475</v>
      </c>
      <c r="D12" s="119">
        <v>2290516.7399999998</v>
      </c>
      <c r="E12" s="114">
        <f>'M05'!M8</f>
        <v>1964949.83</v>
      </c>
      <c r="F12" s="202">
        <f t="shared" si="0"/>
        <v>0.85786311694888562</v>
      </c>
      <c r="G12" s="288">
        <f>C12-E12</f>
        <v>657973.86761904741</v>
      </c>
    </row>
    <row r="13" spans="1:11" x14ac:dyDescent="0.25">
      <c r="A13" s="95" t="s">
        <v>138</v>
      </c>
      <c r="B13" s="106" t="s">
        <v>16</v>
      </c>
      <c r="C13" s="100">
        <f>'Avanzamento_ SP_totale'!E15-'Avanzamento_ SP_totale'!K15-'Avanzamento_ SP_totale'!I15</f>
        <v>3675429.1319047548</v>
      </c>
      <c r="D13" s="119">
        <v>5127491.9199999925</v>
      </c>
      <c r="E13" s="114">
        <f>'M05'!M19</f>
        <v>6715345.4300000006</v>
      </c>
      <c r="F13" s="202">
        <f t="shared" si="0"/>
        <v>1.3096745026172583</v>
      </c>
      <c r="G13" s="288">
        <f>C13-E13</f>
        <v>-3039916.2980952458</v>
      </c>
    </row>
    <row r="14" spans="1:11" ht="22.5" x14ac:dyDescent="0.25">
      <c r="A14" s="95" t="s">
        <v>139</v>
      </c>
      <c r="B14" s="106" t="s">
        <v>18</v>
      </c>
      <c r="C14" s="100">
        <f>'Avanzamento_ SP_totale'!E16-'Avanzamento_ SP_totale'!K16+'Avanzamento_ SP_totale'!I16</f>
        <v>73151428.571428567</v>
      </c>
      <c r="D14" s="113">
        <f>'Avanzamento_ SP_totale'!E16+'Avanzamento_ SP_totale'!G16</f>
        <v>90271428.571428567</v>
      </c>
      <c r="E14" s="114">
        <f>'M06'!M9</f>
        <v>101625000</v>
      </c>
      <c r="F14" s="202">
        <f t="shared" si="0"/>
        <v>1.1257714828295617</v>
      </c>
      <c r="G14" s="288">
        <f>C14-E14</f>
        <v>-28473571.428571433</v>
      </c>
    </row>
    <row r="15" spans="1:11" ht="33.75" x14ac:dyDescent="0.25">
      <c r="A15" s="95" t="s">
        <v>140</v>
      </c>
      <c r="B15" s="106" t="s">
        <v>19</v>
      </c>
      <c r="C15" s="100">
        <f>'Avanzamento_ SP_totale'!E17-'Avanzamento_ SP_totale'!K17</f>
        <v>6092857.1428571427</v>
      </c>
      <c r="D15" s="113">
        <v>6500000</v>
      </c>
      <c r="E15" s="114">
        <f>'M06'!M17</f>
        <v>6350000</v>
      </c>
      <c r="F15" s="202">
        <f t="shared" ref="F15:F20" si="1">E15/D15</f>
        <v>0.97692307692307689</v>
      </c>
      <c r="G15" s="288">
        <f>C15-D15</f>
        <v>-407142.85714285728</v>
      </c>
    </row>
    <row r="16" spans="1:11" ht="33.75" x14ac:dyDescent="0.25">
      <c r="A16" s="821" t="s">
        <v>141</v>
      </c>
      <c r="B16" s="106" t="s">
        <v>20</v>
      </c>
      <c r="C16" s="100">
        <f>'Avanzamento_ SP_totale'!E18-'Avanzamento_ SP_totale'!K18</f>
        <v>5380272.231428572</v>
      </c>
      <c r="D16" s="113">
        <v>8000000</v>
      </c>
      <c r="E16" s="114">
        <f>'M06'!M25+'M06'!M26</f>
        <v>6762834.1600000001</v>
      </c>
      <c r="F16" s="202">
        <f t="shared" si="1"/>
        <v>0.84535426999999996</v>
      </c>
      <c r="G16" s="288">
        <f>C16-D16</f>
        <v>-2619727.768571428</v>
      </c>
    </row>
    <row r="17" spans="1:279" ht="22.5" x14ac:dyDescent="0.25">
      <c r="A17" s="821"/>
      <c r="B17" s="106" t="s">
        <v>21</v>
      </c>
      <c r="C17" s="100">
        <f>'Avanzamento_ SP_totale'!E19-'Avanzamento_ SP_totale'!K19</f>
        <v>5596076.6470238091</v>
      </c>
      <c r="D17" s="113">
        <v>6000000</v>
      </c>
      <c r="E17" s="114">
        <f>'M06'!M27</f>
        <v>5961663.3899999997</v>
      </c>
      <c r="F17" s="202">
        <f t="shared" si="1"/>
        <v>0.99361056499999989</v>
      </c>
      <c r="G17" s="288">
        <f>C17-D17</f>
        <v>-403923.35297619086</v>
      </c>
    </row>
    <row r="18" spans="1:279" ht="33.75" x14ac:dyDescent="0.25">
      <c r="A18" s="95" t="s">
        <v>142</v>
      </c>
      <c r="B18" s="107" t="s">
        <v>23</v>
      </c>
      <c r="C18" s="100">
        <f>'Avanzamento_ SP_totale'!E20-'Avanzamento_ SP_totale'!K20</f>
        <v>136596.82285714286</v>
      </c>
      <c r="D18" s="100">
        <v>179283</v>
      </c>
      <c r="E18" s="203">
        <f>'M07'!M7</f>
        <v>179282.68</v>
      </c>
      <c r="F18" s="202">
        <f t="shared" si="1"/>
        <v>0.99999821511242004</v>
      </c>
      <c r="G18" s="288">
        <f t="shared" ref="G18:G54" si="2">C18-D18</f>
        <v>-42686.177142857137</v>
      </c>
    </row>
    <row r="19" spans="1:279" ht="33.75" x14ac:dyDescent="0.25">
      <c r="A19" s="95" t="s">
        <v>143</v>
      </c>
      <c r="B19" s="107" t="s">
        <v>24</v>
      </c>
      <c r="C19" s="100">
        <f>'Avanzamento_ SP_totale'!E21-'Avanzamento_ SP_totale'!K21</f>
        <v>857142.85714285716</v>
      </c>
      <c r="D19" s="113">
        <v>4125000</v>
      </c>
      <c r="E19" s="203">
        <f>'M07'!M16</f>
        <v>2416912.62</v>
      </c>
      <c r="F19" s="202">
        <f>E19/D19</f>
        <v>0.58591821090909091</v>
      </c>
      <c r="G19" s="288">
        <f t="shared" ref="G19:G24" si="3">C19-D19</f>
        <v>-3267857.1428571427</v>
      </c>
    </row>
    <row r="20" spans="1:279" s="23" customFormat="1" x14ac:dyDescent="0.25">
      <c r="A20" s="115" t="s">
        <v>144</v>
      </c>
      <c r="B20" s="117" t="s">
        <v>25</v>
      </c>
      <c r="C20" s="100">
        <f>'Avanzamento_ SP_totale'!E22-'Avanzamento_ SP_totale'!K22</f>
        <v>15075690.559047617</v>
      </c>
      <c r="D20" s="114">
        <v>16218739</v>
      </c>
      <c r="E20" s="114">
        <f>'M07'!M25</f>
        <v>16218739</v>
      </c>
      <c r="F20" s="65">
        <f t="shared" si="1"/>
        <v>1</v>
      </c>
      <c r="G20" s="288">
        <f t="shared" si="3"/>
        <v>-1143048.440952383</v>
      </c>
    </row>
    <row r="21" spans="1:279" ht="22.5" x14ac:dyDescent="0.25">
      <c r="A21" s="95" t="s">
        <v>145</v>
      </c>
      <c r="B21" s="107" t="s">
        <v>26</v>
      </c>
      <c r="C21" s="103">
        <f>'Avanzamento_ SP_totale'!E23-'Avanzamento_ SP_totale'!K23</f>
        <v>0.1904761902987957</v>
      </c>
      <c r="D21" s="113"/>
      <c r="E21" s="203">
        <v>0</v>
      </c>
      <c r="F21" s="202">
        <v>0</v>
      </c>
      <c r="G21" s="288">
        <f t="shared" si="3"/>
        <v>0.1904761902987957</v>
      </c>
    </row>
    <row r="22" spans="1:279" x14ac:dyDescent="0.25">
      <c r="A22" s="95" t="s">
        <v>146</v>
      </c>
      <c r="B22" s="107" t="s">
        <v>27</v>
      </c>
      <c r="C22" s="103">
        <f>'Avanzamento_ SP_totale'!E24-'Avanzamento_ SP_totale'!K24</f>
        <v>96553.092380952789</v>
      </c>
      <c r="D22" s="113">
        <v>736791</v>
      </c>
      <c r="E22" s="203">
        <f>'M07'!M42</f>
        <v>760643.24</v>
      </c>
      <c r="F22" s="202">
        <f>E22/D22</f>
        <v>1.0323731424515228</v>
      </c>
      <c r="G22" s="288">
        <f t="shared" si="3"/>
        <v>-640237.90761904721</v>
      </c>
    </row>
    <row r="23" spans="1:279" ht="33.75" x14ac:dyDescent="0.25">
      <c r="A23" s="95" t="s">
        <v>147</v>
      </c>
      <c r="B23" s="107" t="s">
        <v>28</v>
      </c>
      <c r="C23" s="100">
        <f>'Avanzamento_ SP_totale'!E25-'Avanzamento_ SP_totale'!K25</f>
        <v>761904.76190476189</v>
      </c>
      <c r="D23" s="113">
        <v>1863979</v>
      </c>
      <c r="E23" s="203">
        <f>'M07'!M51</f>
        <v>1108557.9300000002</v>
      </c>
      <c r="F23" s="202">
        <f>E23/D23</f>
        <v>0.59472661977414987</v>
      </c>
      <c r="G23" s="288">
        <f t="shared" si="3"/>
        <v>-1102074.2380952381</v>
      </c>
    </row>
    <row r="24" spans="1:279" ht="33.75" x14ac:dyDescent="0.25">
      <c r="A24" s="95" t="s">
        <v>148</v>
      </c>
      <c r="B24" s="107" t="s">
        <v>31</v>
      </c>
      <c r="C24" s="100">
        <f>'Avanzamento_ SP_totale'!E27-'Avanzamento_ SP_totale'!K27</f>
        <v>4695590.635714286</v>
      </c>
      <c r="D24" s="113">
        <v>10357998</v>
      </c>
      <c r="E24" s="69">
        <f>'M8.3-8.6'!M7</f>
        <v>7675062.54</v>
      </c>
      <c r="F24" s="202">
        <f>E24/D24</f>
        <v>0.74097934176083058</v>
      </c>
      <c r="G24" s="288">
        <f t="shared" si="3"/>
        <v>-5662407.364285714</v>
      </c>
    </row>
    <row r="25" spans="1:279" ht="33.75" x14ac:dyDescent="0.25">
      <c r="A25" s="95" t="s">
        <v>149</v>
      </c>
      <c r="B25" s="107" t="s">
        <v>32</v>
      </c>
      <c r="C25" s="100">
        <f>'Avanzamento_ SP_totale'!E28-'Avanzamento_ SP_totale'!K28</f>
        <v>2470523.523333333</v>
      </c>
      <c r="D25" s="113">
        <v>3457893.8800000004</v>
      </c>
      <c r="E25" s="69">
        <f>'M8.3-8.6'!M16</f>
        <v>3457568.68</v>
      </c>
      <c r="F25" s="202">
        <f>E25/D25</f>
        <v>0.99990595431459561</v>
      </c>
      <c r="G25" s="288">
        <f t="shared" si="2"/>
        <v>-987370.35666666739</v>
      </c>
    </row>
    <row r="26" spans="1:279" ht="22.5" x14ac:dyDescent="0.25">
      <c r="A26" s="95" t="s">
        <v>150</v>
      </c>
      <c r="B26" s="107" t="s">
        <v>34</v>
      </c>
      <c r="C26" s="100">
        <f>'Avanzamento_ SP_totale'!E29-'Avanzamento_ SP_totale'!K29</f>
        <v>305000</v>
      </c>
      <c r="D26" s="101">
        <v>305000</v>
      </c>
      <c r="E26" s="203">
        <f>'M09'!M7</f>
        <v>305000</v>
      </c>
      <c r="F26" s="202">
        <f>E26/D26</f>
        <v>1</v>
      </c>
      <c r="G26" s="288">
        <f t="shared" si="2"/>
        <v>0</v>
      </c>
    </row>
    <row r="27" spans="1:279" x14ac:dyDescent="0.25">
      <c r="A27" s="893" t="s">
        <v>117</v>
      </c>
      <c r="B27" s="584" t="s">
        <v>36</v>
      </c>
      <c r="C27" s="894">
        <v>154117139.7115244</v>
      </c>
      <c r="D27" s="895">
        <v>155908741.39850032</v>
      </c>
      <c r="E27" s="895">
        <v>155908741.39850032</v>
      </c>
      <c r="F27" s="793">
        <f>+E27/D27</f>
        <v>1</v>
      </c>
      <c r="G27" s="874">
        <f>C27-D27</f>
        <v>-1791601.6869759262</v>
      </c>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row>
    <row r="28" spans="1:279" x14ac:dyDescent="0.25">
      <c r="A28" s="893"/>
      <c r="B28" s="584" t="s">
        <v>37</v>
      </c>
      <c r="C28" s="894"/>
      <c r="D28" s="896"/>
      <c r="E28" s="896"/>
      <c r="F28" s="794"/>
      <c r="G28" s="875"/>
      <c r="H28"/>
      <c r="I28"/>
      <c r="J28"/>
      <c r="K28" s="241"/>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row>
    <row r="29" spans="1:279" ht="25.5" customHeight="1" x14ac:dyDescent="0.25">
      <c r="A29" s="893"/>
      <c r="B29" s="584" t="s">
        <v>38</v>
      </c>
      <c r="C29" s="894"/>
      <c r="D29" s="896"/>
      <c r="E29" s="896"/>
      <c r="F29" s="794"/>
      <c r="G29" s="875"/>
      <c r="H29"/>
      <c r="I29"/>
      <c r="J29" s="50"/>
      <c r="K29" s="241"/>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row>
    <row r="30" spans="1:279" ht="33.75" x14ac:dyDescent="0.25">
      <c r="A30" s="893"/>
      <c r="B30" s="584" t="s">
        <v>41</v>
      </c>
      <c r="C30" s="894"/>
      <c r="D30" s="896"/>
      <c r="E30" s="896"/>
      <c r="F30" s="794"/>
      <c r="G30" s="875"/>
      <c r="H30"/>
      <c r="I30"/>
      <c r="J30" s="5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row>
    <row r="31" spans="1:279" ht="22.5" x14ac:dyDescent="0.25">
      <c r="A31" s="893"/>
      <c r="B31" s="584" t="s">
        <v>39</v>
      </c>
      <c r="C31" s="894"/>
      <c r="D31" s="897"/>
      <c r="E31" s="897"/>
      <c r="F31" s="795"/>
      <c r="G31" s="87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row>
    <row r="32" spans="1:279" s="23" customFormat="1" ht="22.5" x14ac:dyDescent="0.25">
      <c r="A32" s="750" t="s">
        <v>45</v>
      </c>
      <c r="B32" s="584" t="s">
        <v>43</v>
      </c>
      <c r="C32" s="819">
        <v>73638933.013333395</v>
      </c>
      <c r="D32" s="766">
        <v>74547954.127999991</v>
      </c>
      <c r="E32" s="766">
        <v>74547954.127999991</v>
      </c>
      <c r="F32" s="793">
        <f>+E32/D32</f>
        <v>1</v>
      </c>
      <c r="G32" s="864">
        <f>C32-D32</f>
        <v>-909021.11466659606</v>
      </c>
      <c r="H32" s="209"/>
    </row>
    <row r="33" spans="1:8" s="23" customFormat="1" ht="22.5" x14ac:dyDescent="0.25">
      <c r="A33" s="750" t="s">
        <v>119</v>
      </c>
      <c r="B33" s="584" t="s">
        <v>44</v>
      </c>
      <c r="C33" s="820"/>
      <c r="D33" s="768"/>
      <c r="E33" s="768"/>
      <c r="F33" s="795"/>
      <c r="G33" s="865"/>
    </row>
    <row r="34" spans="1:8" s="23" customFormat="1" ht="22.5" x14ac:dyDescent="0.25">
      <c r="A34" s="750" t="s">
        <v>112</v>
      </c>
      <c r="B34" s="584" t="s">
        <v>120</v>
      </c>
      <c r="C34" s="819">
        <v>373134278.67583317</v>
      </c>
      <c r="D34" s="898">
        <v>389427658.47800016</v>
      </c>
      <c r="E34" s="898">
        <v>349427658.47800016</v>
      </c>
      <c r="F34" s="793">
        <f>E34/D34</f>
        <v>0.89728515905538919</v>
      </c>
      <c r="G34" s="864">
        <f>C34-D34</f>
        <v>-16293379.802166998</v>
      </c>
      <c r="H34" s="209"/>
    </row>
    <row r="35" spans="1:8" s="23" customFormat="1" ht="22.5" x14ac:dyDescent="0.25">
      <c r="A35" s="750" t="s">
        <v>113</v>
      </c>
      <c r="B35" s="584" t="s">
        <v>121</v>
      </c>
      <c r="C35" s="820"/>
      <c r="D35" s="898"/>
      <c r="E35" s="898"/>
      <c r="F35" s="795" t="e">
        <f t="shared" ref="F35:F40" si="4">E35/D35</f>
        <v>#DIV/0!</v>
      </c>
      <c r="G35" s="865"/>
    </row>
    <row r="36" spans="1:8" s="23" customFormat="1" ht="28.9" customHeight="1" x14ac:dyDescent="0.25">
      <c r="A36" s="900" t="s">
        <v>122</v>
      </c>
      <c r="B36" s="584" t="s">
        <v>123</v>
      </c>
      <c r="C36" s="819">
        <v>307759182.70428598</v>
      </c>
      <c r="D36" s="898">
        <v>313361622.16099942</v>
      </c>
      <c r="E36" s="898">
        <v>290361622.16099942</v>
      </c>
      <c r="F36" s="902">
        <f t="shared" si="4"/>
        <v>0.92660237127511735</v>
      </c>
      <c r="G36" s="864">
        <f>C36-D36</f>
        <v>-5602439.456713438</v>
      </c>
    </row>
    <row r="37" spans="1:8" s="23" customFormat="1" ht="28.9" customHeight="1" x14ac:dyDescent="0.25">
      <c r="A37" s="893"/>
      <c r="B37" s="584" t="s">
        <v>124</v>
      </c>
      <c r="C37" s="901"/>
      <c r="D37" s="898"/>
      <c r="E37" s="898"/>
      <c r="F37" s="902" t="e">
        <f t="shared" si="4"/>
        <v>#DIV/0!</v>
      </c>
      <c r="G37" s="899"/>
    </row>
    <row r="38" spans="1:8" s="23" customFormat="1" ht="28.9" customHeight="1" x14ac:dyDescent="0.25">
      <c r="A38" s="893"/>
      <c r="B38" s="584" t="s">
        <v>125</v>
      </c>
      <c r="C38" s="901"/>
      <c r="D38" s="898"/>
      <c r="E38" s="898"/>
      <c r="F38" s="902" t="e">
        <f t="shared" si="4"/>
        <v>#DIV/0!</v>
      </c>
      <c r="G38" s="899"/>
      <c r="H38" s="209"/>
    </row>
    <row r="39" spans="1:8" s="23" customFormat="1" ht="28.9" customHeight="1" x14ac:dyDescent="0.25">
      <c r="A39" s="893"/>
      <c r="B39" s="584" t="s">
        <v>126</v>
      </c>
      <c r="C39" s="901"/>
      <c r="D39" s="898"/>
      <c r="E39" s="898"/>
      <c r="F39" s="902" t="e">
        <f t="shared" si="4"/>
        <v>#DIV/0!</v>
      </c>
      <c r="G39" s="865"/>
    </row>
    <row r="40" spans="1:8" s="23" customFormat="1" ht="22.5" x14ac:dyDescent="0.25">
      <c r="A40" s="750" t="s">
        <v>127</v>
      </c>
      <c r="B40" s="584" t="s">
        <v>52</v>
      </c>
      <c r="C40" s="752">
        <v>5065188.6866666693</v>
      </c>
      <c r="D40" s="751">
        <v>5057508.91</v>
      </c>
      <c r="E40" s="751">
        <v>5057508.91</v>
      </c>
      <c r="F40" s="402">
        <f t="shared" si="4"/>
        <v>1</v>
      </c>
      <c r="G40" s="753">
        <f>C40-D40</f>
        <v>7679.776666669175</v>
      </c>
    </row>
    <row r="41" spans="1:8" ht="22.5" x14ac:dyDescent="0.25">
      <c r="A41" s="94" t="s">
        <v>53</v>
      </c>
      <c r="B41" s="107" t="s">
        <v>54</v>
      </c>
      <c r="C41" s="100">
        <f>'Avanzamento_ SP_totale'!E45-'Avanzamento_ SP_totale'!K45</f>
        <v>6284036.8866666667</v>
      </c>
      <c r="D41" s="113">
        <v>10679999.66</v>
      </c>
      <c r="E41" s="203">
        <f>'M16'!M8</f>
        <v>10557570.220000001</v>
      </c>
      <c r="F41" s="202">
        <f t="shared" ref="F41:F51" si="5">E41/D41</f>
        <v>0.98853656892344888</v>
      </c>
      <c r="G41" s="288">
        <f>C41-D41</f>
        <v>-4395962.7733333334</v>
      </c>
    </row>
    <row r="42" spans="1:8" ht="33.75" x14ac:dyDescent="0.25">
      <c r="A42" s="94" t="s">
        <v>55</v>
      </c>
      <c r="B42" s="107" t="s">
        <v>56</v>
      </c>
      <c r="C42" s="100">
        <f>'Avanzamento_ SP_totale'!E46-'Avanzamento_ SP_totale'!K46</f>
        <v>5881571.5293333335</v>
      </c>
      <c r="D42" s="113">
        <v>6670000</v>
      </c>
      <c r="E42" s="114">
        <f>'M16'!M16</f>
        <v>6720386.1799999997</v>
      </c>
      <c r="F42" s="202">
        <f t="shared" si="5"/>
        <v>1.0075541499250373</v>
      </c>
      <c r="G42" s="288">
        <f>C42-D42</f>
        <v>-788428.47066666652</v>
      </c>
    </row>
    <row r="43" spans="1:8" x14ac:dyDescent="0.25">
      <c r="A43" s="94" t="s">
        <v>151</v>
      </c>
      <c r="B43" s="107" t="s">
        <v>58</v>
      </c>
      <c r="C43" s="100">
        <f>'Avanzamento_ SP_totale'!E47-'Avanzamento_ SP_totale'!K47</f>
        <v>1856652.3646666668</v>
      </c>
      <c r="D43" s="113">
        <v>3020000</v>
      </c>
      <c r="E43" s="203">
        <f>'M16'!M25</f>
        <v>2757876.76</v>
      </c>
      <c r="F43" s="202">
        <f t="shared" si="5"/>
        <v>0.91320422516556288</v>
      </c>
      <c r="G43" s="288">
        <f>C43-E43</f>
        <v>-901224.39533333294</v>
      </c>
    </row>
    <row r="44" spans="1:8" ht="22.5" x14ac:dyDescent="0.25">
      <c r="A44" s="94" t="s">
        <v>59</v>
      </c>
      <c r="B44" s="107" t="s">
        <v>60</v>
      </c>
      <c r="C44" s="100">
        <f>'Avanzamento_ SP_totale'!E48-'Avanzamento_ SP_totale'!K48</f>
        <v>1002666.6666666666</v>
      </c>
      <c r="D44" s="113">
        <v>1880000</v>
      </c>
      <c r="E44" s="203">
        <f>'M16'!M35</f>
        <v>568352.41</v>
      </c>
      <c r="F44" s="202">
        <f t="shared" si="5"/>
        <v>0.30231511170212766</v>
      </c>
      <c r="G44" s="288">
        <f>C44-D44</f>
        <v>-877333.33333333337</v>
      </c>
    </row>
    <row r="45" spans="1:8" ht="22.5" x14ac:dyDescent="0.25">
      <c r="A45" s="94" t="s">
        <v>61</v>
      </c>
      <c r="B45" s="107" t="s">
        <v>62</v>
      </c>
      <c r="C45" s="100">
        <f>'Avanzamento_ SP_totale'!E49-'Avanzamento_ SP_totale'!K49</f>
        <v>178467.19999999998</v>
      </c>
      <c r="D45" s="113">
        <v>64253</v>
      </c>
      <c r="E45" s="203">
        <f>'M16'!M43</f>
        <v>64253</v>
      </c>
      <c r="F45" s="202">
        <f t="shared" si="5"/>
        <v>1</v>
      </c>
      <c r="G45" s="288">
        <f>C45-D45</f>
        <v>114214.19999999998</v>
      </c>
    </row>
    <row r="46" spans="1:8" x14ac:dyDescent="0.25">
      <c r="A46" s="94" t="s">
        <v>63</v>
      </c>
      <c r="B46" s="107" t="s">
        <v>64</v>
      </c>
      <c r="C46" s="100">
        <f>'Avanzamento_ SP_totale'!E50-'Avanzamento_ SP_totale'!K50</f>
        <v>264570.21133333334</v>
      </c>
      <c r="D46" s="113">
        <v>474084.33</v>
      </c>
      <c r="E46" s="203">
        <f>'M16'!M51</f>
        <v>474084.33</v>
      </c>
      <c r="F46" s="202">
        <f t="shared" si="5"/>
        <v>1</v>
      </c>
      <c r="G46" s="288">
        <f>C46-D46</f>
        <v>-209514.11866666668</v>
      </c>
    </row>
    <row r="47" spans="1:8" x14ac:dyDescent="0.25">
      <c r="A47" s="94" t="s">
        <v>65</v>
      </c>
      <c r="B47" s="107" t="s">
        <v>66</v>
      </c>
      <c r="C47" s="100">
        <f>'Avanzamento_ SP_totale'!E51-'Avanzamento_ SP_totale'!K51</f>
        <v>679804.03999999992</v>
      </c>
      <c r="D47" s="100">
        <v>600000</v>
      </c>
      <c r="E47" s="165">
        <f>'Avanzamento_ SP_FEASR'!F50-'AVANZAMENTO TOP UP'!E10</f>
        <v>725817</v>
      </c>
      <c r="F47" s="202">
        <f>E47/D47</f>
        <v>1.209695</v>
      </c>
      <c r="G47" s="288">
        <f>C47-E47</f>
        <v>-46012.960000000079</v>
      </c>
    </row>
    <row r="48" spans="1:8" ht="22.5" x14ac:dyDescent="0.25">
      <c r="A48" s="834" t="s">
        <v>67</v>
      </c>
      <c r="B48" s="107" t="s">
        <v>152</v>
      </c>
      <c r="C48" s="890">
        <f>77588615-9875315.91</f>
        <v>67713299.090000004</v>
      </c>
      <c r="D48" s="890">
        <v>67713299.090000004</v>
      </c>
      <c r="E48" s="892">
        <f>'M19'!M16</f>
        <v>70101189.949999988</v>
      </c>
      <c r="F48" s="891">
        <f>E48/D48</f>
        <v>1.0352647248338345</v>
      </c>
      <c r="G48" s="874">
        <f>C48-D48</f>
        <v>0</v>
      </c>
    </row>
    <row r="49" spans="1:279" x14ac:dyDescent="0.25">
      <c r="A49" s="821"/>
      <c r="B49" s="107" t="s">
        <v>153</v>
      </c>
      <c r="C49" s="890"/>
      <c r="D49" s="890"/>
      <c r="E49" s="892"/>
      <c r="F49" s="891" t="e">
        <f t="shared" si="5"/>
        <v>#DIV/0!</v>
      </c>
      <c r="G49" s="876"/>
    </row>
    <row r="50" spans="1:279" ht="33.75" x14ac:dyDescent="0.25">
      <c r="A50" s="94" t="s">
        <v>69</v>
      </c>
      <c r="B50" s="107" t="s">
        <v>70</v>
      </c>
      <c r="C50" s="100">
        <f>'Avanzamento_ SP_totale'!E54-'Avanzamento_ SP_totale'!K54</f>
        <v>1087578.52</v>
      </c>
      <c r="D50" s="100">
        <v>1992272.2</v>
      </c>
      <c r="E50" s="114">
        <f>'Avanzamento_ SP_totale'!L54-'AVANZAMENTO TOP UP'!E13</f>
        <v>2801059.6800000006</v>
      </c>
      <c r="F50" s="202">
        <f t="shared" si="5"/>
        <v>1.4059623378773245</v>
      </c>
      <c r="G50" s="288">
        <f>C50-E50</f>
        <v>-1713481.1600000006</v>
      </c>
    </row>
    <row r="51" spans="1:279" ht="22.5" x14ac:dyDescent="0.25">
      <c r="A51" s="94" t="s">
        <v>71</v>
      </c>
      <c r="B51" s="107" t="s">
        <v>72</v>
      </c>
      <c r="C51" s="100">
        <f>'Avanzamento_ SP_totale'!E55-'Avanzamento_ SP_totale'!K55</f>
        <v>9613840.0453333333</v>
      </c>
      <c r="D51" s="63">
        <v>11254253.550000001</v>
      </c>
      <c r="E51" s="114">
        <f>'Avanzamento_ SP_totale'!L55-'AVANZAMENTO TOP UP'!E14</f>
        <v>17111779.699999999</v>
      </c>
      <c r="F51" s="202">
        <f t="shared" si="5"/>
        <v>1.5204722040405778</v>
      </c>
      <c r="G51" s="288">
        <f>C51-E51</f>
        <v>-7497939.6546666659</v>
      </c>
    </row>
    <row r="52" spans="1:279" ht="22.5" x14ac:dyDescent="0.25">
      <c r="A52" s="67">
        <v>20</v>
      </c>
      <c r="B52" s="108" t="s">
        <v>154</v>
      </c>
      <c r="C52" s="100">
        <f>'Avanzamento_ SP_totale'!E56-'Avanzamento_ SP_totale'!K56</f>
        <v>7903817.262222223</v>
      </c>
      <c r="D52" s="63">
        <v>10373760.16</v>
      </c>
      <c r="E52" s="114">
        <f>'Avanzamento_ SP_totale'!L56-'Avanzamento_ SP_totale'!K56</f>
        <v>8305747.8300000001</v>
      </c>
      <c r="F52" s="202">
        <f>E52/D52</f>
        <v>0.80064968747070009</v>
      </c>
      <c r="G52" s="288">
        <f>C52-D52</f>
        <v>-2469942.8977777772</v>
      </c>
    </row>
    <row r="53" spans="1:279" ht="33.75" x14ac:dyDescent="0.25">
      <c r="A53" s="67" t="s">
        <v>315</v>
      </c>
      <c r="B53" s="68" t="s">
        <v>383</v>
      </c>
      <c r="C53" s="100">
        <f>'Avanzamento_ SP_totale'!E57-'Avanzamento_ SP_totale'!K57</f>
        <v>1998000</v>
      </c>
      <c r="D53" s="113">
        <v>1998000</v>
      </c>
      <c r="E53" s="114">
        <f>'Avanzamento_ SP_totale'!L57-'AVANZAMENTO TOP UP'!E15</f>
        <v>1998000</v>
      </c>
      <c r="F53" s="202">
        <f>E53/D53</f>
        <v>1</v>
      </c>
      <c r="G53" s="288">
        <f>C53-D53</f>
        <v>0</v>
      </c>
    </row>
    <row r="54" spans="1:279" x14ac:dyDescent="0.25">
      <c r="A54" s="833" t="s">
        <v>114</v>
      </c>
      <c r="B54" s="833"/>
      <c r="C54" s="100">
        <f>'Avanzamento_ SP_totale'!E58-'Avanzamento_ SP_totale'!K58</f>
        <v>0</v>
      </c>
      <c r="D54" s="113">
        <v>0</v>
      </c>
      <c r="E54" s="203">
        <v>0</v>
      </c>
      <c r="F54" s="202">
        <v>0</v>
      </c>
      <c r="G54" s="288">
        <f t="shared" si="2"/>
        <v>0</v>
      </c>
    </row>
    <row r="55" spans="1:279" s="6" customFormat="1" ht="11.25" x14ac:dyDescent="0.2">
      <c r="A55" s="52" t="s">
        <v>128</v>
      </c>
      <c r="B55" s="88"/>
      <c r="C55" s="53">
        <f>SUM(C4:C54)</f>
        <v>1410185693.6017709</v>
      </c>
      <c r="D55" s="53">
        <f>SUM(D4:D54)</f>
        <v>1512462602.1937141</v>
      </c>
      <c r="E55" s="54">
        <f>SUM(E4:E54)</f>
        <v>1487795777.8755002</v>
      </c>
      <c r="F55" s="55">
        <f>E55/D55</f>
        <v>0.98369095256805916</v>
      </c>
      <c r="G55" s="289">
        <f>SUM(G4:G54)</f>
        <v>-156231137.68372938</v>
      </c>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c r="BZ55" s="210"/>
      <c r="CA55" s="210"/>
      <c r="CB55" s="210"/>
      <c r="CC55" s="210"/>
      <c r="CD55" s="210"/>
      <c r="CE55" s="210"/>
      <c r="CF55" s="210"/>
      <c r="CG55" s="210"/>
      <c r="CH55" s="210"/>
      <c r="CI55" s="210"/>
      <c r="CJ55" s="210"/>
      <c r="CK55" s="210"/>
      <c r="CL55" s="210"/>
      <c r="CM55" s="210"/>
      <c r="CN55" s="210"/>
      <c r="CO55" s="210"/>
      <c r="CP55" s="210"/>
      <c r="CQ55" s="210"/>
      <c r="CR55" s="210"/>
      <c r="CS55" s="210"/>
      <c r="CT55" s="210"/>
      <c r="CU55" s="210"/>
      <c r="CV55" s="210"/>
      <c r="CW55" s="210"/>
      <c r="CX55" s="210"/>
      <c r="CY55" s="210"/>
      <c r="CZ55" s="210"/>
      <c r="DA55" s="210"/>
      <c r="DB55" s="210"/>
      <c r="DC55" s="210"/>
      <c r="DD55" s="210"/>
      <c r="DE55" s="210"/>
      <c r="DF55" s="210"/>
      <c r="DG55" s="210"/>
      <c r="DH55" s="210"/>
      <c r="DI55" s="210"/>
      <c r="DJ55" s="210"/>
      <c r="DK55" s="210"/>
      <c r="DL55" s="210"/>
      <c r="DM55" s="210"/>
      <c r="DN55" s="210"/>
      <c r="DO55" s="210"/>
      <c r="DP55" s="210"/>
      <c r="DQ55" s="210"/>
      <c r="DR55" s="210"/>
      <c r="DS55" s="210"/>
      <c r="DT55" s="210"/>
      <c r="DU55" s="210"/>
      <c r="DV55" s="210"/>
      <c r="DW55" s="210"/>
      <c r="DX55" s="210"/>
      <c r="DY55" s="210"/>
      <c r="DZ55" s="210"/>
      <c r="EA55" s="210"/>
      <c r="EB55" s="210"/>
      <c r="EC55" s="210"/>
      <c r="ED55" s="210"/>
      <c r="EE55" s="210"/>
      <c r="EF55" s="210"/>
      <c r="EG55" s="210"/>
      <c r="EH55" s="210"/>
      <c r="EI55" s="210"/>
      <c r="EJ55" s="210"/>
      <c r="EK55" s="210"/>
      <c r="EL55" s="210"/>
      <c r="EM55" s="210"/>
      <c r="EN55" s="210"/>
      <c r="EO55" s="210"/>
      <c r="EP55" s="210"/>
      <c r="EQ55" s="210"/>
      <c r="ER55" s="210"/>
      <c r="ES55" s="210"/>
      <c r="ET55" s="210"/>
      <c r="EU55" s="210"/>
      <c r="EV55" s="210"/>
      <c r="EW55" s="210"/>
      <c r="EX55" s="210"/>
      <c r="EY55" s="210"/>
      <c r="EZ55" s="210"/>
      <c r="FA55" s="210"/>
      <c r="FB55" s="210"/>
      <c r="FC55" s="210"/>
      <c r="FD55" s="210"/>
      <c r="FE55" s="210"/>
      <c r="FF55" s="210"/>
      <c r="FG55" s="210"/>
      <c r="FH55" s="210"/>
      <c r="FI55" s="210"/>
      <c r="FJ55" s="210"/>
      <c r="FK55" s="210"/>
      <c r="FL55" s="210"/>
      <c r="FM55" s="210"/>
      <c r="FN55" s="210"/>
      <c r="FO55" s="210"/>
      <c r="FP55" s="210"/>
      <c r="FQ55" s="210"/>
      <c r="FR55" s="210"/>
      <c r="FS55" s="210"/>
      <c r="FT55" s="210"/>
      <c r="FU55" s="210"/>
      <c r="FV55" s="210"/>
      <c r="FW55" s="210"/>
      <c r="FX55" s="210"/>
      <c r="FY55" s="210"/>
      <c r="FZ55" s="210"/>
      <c r="GA55" s="210"/>
      <c r="GB55" s="210"/>
      <c r="GC55" s="210"/>
      <c r="GD55" s="210"/>
      <c r="GE55" s="210"/>
      <c r="GF55" s="210"/>
      <c r="GG55" s="210"/>
      <c r="GH55" s="210"/>
      <c r="GI55" s="210"/>
      <c r="GJ55" s="210"/>
      <c r="GK55" s="210"/>
      <c r="GL55" s="210"/>
      <c r="GM55" s="210"/>
      <c r="GN55" s="210"/>
      <c r="GO55" s="210"/>
      <c r="GP55" s="210"/>
      <c r="GQ55" s="210"/>
      <c r="GR55" s="210"/>
      <c r="GS55" s="210"/>
      <c r="GT55" s="210"/>
      <c r="GU55" s="210"/>
      <c r="GV55" s="210"/>
      <c r="GW55" s="210"/>
      <c r="GX55" s="210"/>
      <c r="GY55" s="210"/>
      <c r="GZ55" s="210"/>
      <c r="HA55" s="210"/>
      <c r="HB55" s="210"/>
      <c r="HC55" s="210"/>
      <c r="HD55" s="210"/>
      <c r="HE55" s="210"/>
      <c r="HF55" s="210"/>
      <c r="HG55" s="210"/>
      <c r="HH55" s="210"/>
      <c r="HI55" s="210"/>
      <c r="HJ55" s="210"/>
      <c r="HK55" s="210"/>
      <c r="HL55" s="210"/>
      <c r="HM55" s="210"/>
      <c r="HN55" s="210"/>
      <c r="HO55" s="210"/>
      <c r="HP55" s="210"/>
      <c r="HQ55" s="210"/>
      <c r="HR55" s="210"/>
      <c r="HS55" s="210"/>
      <c r="HT55" s="210"/>
      <c r="HU55" s="210"/>
      <c r="HV55" s="210"/>
      <c r="HW55" s="210"/>
      <c r="HX55" s="210"/>
      <c r="HY55" s="210"/>
      <c r="HZ55" s="210"/>
      <c r="IA55" s="210"/>
      <c r="IB55" s="210"/>
      <c r="IC55" s="210"/>
      <c r="ID55" s="210"/>
      <c r="IE55" s="210"/>
      <c r="IF55" s="210"/>
      <c r="IG55" s="210"/>
      <c r="IH55" s="210"/>
      <c r="II55" s="210"/>
      <c r="IJ55" s="210"/>
      <c r="IK55" s="210"/>
      <c r="IL55" s="210"/>
      <c r="IM55" s="210"/>
      <c r="IN55" s="210"/>
      <c r="IO55" s="210"/>
      <c r="IP55" s="210"/>
      <c r="IQ55" s="210"/>
      <c r="IR55" s="210"/>
      <c r="IS55" s="210"/>
      <c r="IT55" s="210"/>
      <c r="IU55" s="210"/>
      <c r="IV55" s="210"/>
      <c r="IW55" s="210"/>
      <c r="IX55" s="210"/>
      <c r="IY55" s="210"/>
      <c r="IZ55" s="210"/>
      <c r="JA55" s="210"/>
      <c r="JB55" s="210"/>
      <c r="JC55" s="210"/>
      <c r="JD55" s="210"/>
      <c r="JE55" s="210"/>
      <c r="JF55" s="210"/>
      <c r="JG55" s="210"/>
      <c r="JH55" s="210"/>
      <c r="JI55" s="210"/>
      <c r="JJ55" s="210"/>
      <c r="JK55" s="210"/>
      <c r="JL55" s="210"/>
      <c r="JM55" s="210"/>
      <c r="JN55" s="210"/>
      <c r="JO55" s="210"/>
      <c r="JP55" s="210"/>
      <c r="JQ55" s="210"/>
      <c r="JR55" s="210"/>
      <c r="JS55" s="210"/>
    </row>
    <row r="56" spans="1:279" s="210" customFormat="1" ht="61.9" customHeight="1" x14ac:dyDescent="0.2">
      <c r="A56" s="797" t="s">
        <v>694</v>
      </c>
      <c r="B56" s="797"/>
      <c r="C56" s="797"/>
      <c r="D56" s="797"/>
      <c r="E56" s="797"/>
      <c r="F56" s="797"/>
      <c r="G56" s="797"/>
      <c r="H56" s="211"/>
      <c r="I56" s="211"/>
      <c r="J56" s="211"/>
      <c r="K56" s="211"/>
      <c r="L56" s="211"/>
      <c r="M56" s="211"/>
    </row>
    <row r="57" spans="1:279" s="210" customFormat="1" ht="25.5" customHeight="1" x14ac:dyDescent="0.2">
      <c r="A57" s="826" t="s">
        <v>712</v>
      </c>
      <c r="B57" s="826"/>
      <c r="C57" s="826"/>
      <c r="D57" s="826"/>
      <c r="E57" s="826"/>
      <c r="F57" s="826"/>
      <c r="G57" s="826"/>
      <c r="H57" s="211"/>
      <c r="I57" s="211"/>
      <c r="J57" s="211"/>
      <c r="K57" s="211"/>
      <c r="L57" s="211"/>
      <c r="M57" s="211"/>
    </row>
    <row r="58" spans="1:279" s="23" customFormat="1" x14ac:dyDescent="0.25">
      <c r="A58" s="888"/>
      <c r="B58" s="888"/>
      <c r="C58" s="888"/>
      <c r="D58" s="888"/>
      <c r="E58" s="888"/>
      <c r="F58" s="888"/>
      <c r="G58" s="279"/>
    </row>
    <row r="59" spans="1:279" s="23" customFormat="1" x14ac:dyDescent="0.25">
      <c r="B59" s="212"/>
      <c r="C59" s="168"/>
      <c r="D59" s="213"/>
      <c r="E59" s="213"/>
      <c r="F59" s="213"/>
      <c r="G59" s="213"/>
    </row>
    <row r="61" spans="1:279" x14ac:dyDescent="0.25">
      <c r="E61" s="207"/>
    </row>
    <row r="62" spans="1:279" x14ac:dyDescent="0.25">
      <c r="E62" s="208"/>
    </row>
  </sheetData>
  <mergeCells count="42">
    <mergeCell ref="G36:G39"/>
    <mergeCell ref="A36:A39"/>
    <mergeCell ref="C36:C39"/>
    <mergeCell ref="D36:D39"/>
    <mergeCell ref="E36:E39"/>
    <mergeCell ref="F36:F39"/>
    <mergeCell ref="G32:G33"/>
    <mergeCell ref="C34:C35"/>
    <mergeCell ref="D34:D35"/>
    <mergeCell ref="E34:E35"/>
    <mergeCell ref="F34:F35"/>
    <mergeCell ref="G34:G35"/>
    <mergeCell ref="A1:G1"/>
    <mergeCell ref="C48:C49"/>
    <mergeCell ref="A56:G56"/>
    <mergeCell ref="A57:G57"/>
    <mergeCell ref="F48:F49"/>
    <mergeCell ref="E48:E49"/>
    <mergeCell ref="D48:D49"/>
    <mergeCell ref="G48:G49"/>
    <mergeCell ref="G2:G3"/>
    <mergeCell ref="A27:A31"/>
    <mergeCell ref="C27:C31"/>
    <mergeCell ref="D27:D31"/>
    <mergeCell ref="E27:E31"/>
    <mergeCell ref="F27:F31"/>
    <mergeCell ref="G27:G31"/>
    <mergeCell ref="C32:C33"/>
    <mergeCell ref="A58:F58"/>
    <mergeCell ref="F2:F3"/>
    <mergeCell ref="A10:A11"/>
    <mergeCell ref="A16:A17"/>
    <mergeCell ref="A2:A3"/>
    <mergeCell ref="B2:B3"/>
    <mergeCell ref="C2:C3"/>
    <mergeCell ref="D2:D3"/>
    <mergeCell ref="E2:E3"/>
    <mergeCell ref="A54:B54"/>
    <mergeCell ref="A48:A49"/>
    <mergeCell ref="D32:D33"/>
    <mergeCell ref="E32:E33"/>
    <mergeCell ref="F32:F33"/>
  </mergeCells>
  <printOptions horizontalCentered="1"/>
  <pageMargins left="0.39370078740157483" right="0.39370078740157483" top="0.39370078740157483" bottom="0.39370078740157483" header="0.31496062992125984" footer="0.31496062992125984"/>
  <pageSetup paperSize="9" fitToHeight="0" orientation="landscape" r:id="rId1"/>
  <rowBreaks count="2" manualBreakCount="2">
    <brk id="21" max="6" man="1"/>
    <brk id="39"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99720-82A5-4711-BAD3-BBE99F3FDBCD}">
  <dimension ref="A1:I102"/>
  <sheetViews>
    <sheetView view="pageBreakPreview" topLeftCell="A43" zoomScaleNormal="100" zoomScaleSheetLayoutView="100" workbookViewId="0">
      <selection activeCell="B85" sqref="B85:B88"/>
    </sheetView>
  </sheetViews>
  <sheetFormatPr defaultRowHeight="15" x14ac:dyDescent="0.25"/>
  <cols>
    <col min="1" max="1" width="10.85546875" customWidth="1"/>
    <col min="2" max="2" width="31.85546875" customWidth="1"/>
    <col min="3" max="3" width="22.7109375" customWidth="1"/>
    <col min="4" max="4" width="19.7109375" customWidth="1"/>
    <col min="5" max="5" width="22.7109375" customWidth="1"/>
    <col min="6" max="6" width="16.5703125" customWidth="1"/>
  </cols>
  <sheetData>
    <row r="1" spans="1:8" ht="15.75" x14ac:dyDescent="0.25">
      <c r="A1" s="903" t="s">
        <v>714</v>
      </c>
      <c r="B1" s="903"/>
      <c r="C1" s="903"/>
      <c r="D1" s="903"/>
      <c r="E1" s="903"/>
      <c r="F1" s="903"/>
    </row>
    <row r="2" spans="1:8" ht="22.5" x14ac:dyDescent="0.25">
      <c r="A2" s="109" t="s">
        <v>73</v>
      </c>
      <c r="B2" s="204" t="s">
        <v>0</v>
      </c>
      <c r="C2" s="204" t="s">
        <v>700</v>
      </c>
      <c r="D2" s="204" t="s">
        <v>382</v>
      </c>
      <c r="E2" s="204" t="s">
        <v>74</v>
      </c>
      <c r="F2" s="204" t="s">
        <v>129</v>
      </c>
    </row>
    <row r="3" spans="1:8" ht="22.5" x14ac:dyDescent="0.25">
      <c r="A3" s="178">
        <v>1</v>
      </c>
      <c r="B3" s="298" t="s">
        <v>3</v>
      </c>
      <c r="C3" s="228" t="s">
        <v>75</v>
      </c>
      <c r="D3" s="111">
        <v>42921</v>
      </c>
      <c r="E3" s="111">
        <v>45488</v>
      </c>
      <c r="F3" s="165">
        <v>2400225.14</v>
      </c>
    </row>
    <row r="4" spans="1:8" x14ac:dyDescent="0.25">
      <c r="A4" s="904" t="s">
        <v>4</v>
      </c>
      <c r="B4" s="905" t="s">
        <v>5</v>
      </c>
      <c r="C4" s="58" t="s">
        <v>76</v>
      </c>
      <c r="D4" s="111">
        <v>43812</v>
      </c>
      <c r="E4" s="111">
        <v>44104</v>
      </c>
      <c r="F4" s="165">
        <v>5458258.3399999999</v>
      </c>
    </row>
    <row r="5" spans="1:8" x14ac:dyDescent="0.25">
      <c r="A5" s="904"/>
      <c r="B5" s="906"/>
      <c r="C5" s="58" t="s">
        <v>76</v>
      </c>
      <c r="D5" s="111">
        <v>45042</v>
      </c>
      <c r="E5" s="111">
        <v>45131</v>
      </c>
      <c r="F5" s="113">
        <v>3123967</v>
      </c>
      <c r="H5" s="50"/>
    </row>
    <row r="6" spans="1:8" x14ac:dyDescent="0.25">
      <c r="A6" s="904" t="s">
        <v>6</v>
      </c>
      <c r="B6" s="905" t="s">
        <v>7</v>
      </c>
      <c r="C6" s="908" t="s">
        <v>76</v>
      </c>
      <c r="D6" s="111">
        <v>42628</v>
      </c>
      <c r="E6" s="111">
        <v>42704</v>
      </c>
      <c r="F6" s="911">
        <v>1929851</v>
      </c>
    </row>
    <row r="7" spans="1:8" x14ac:dyDescent="0.25">
      <c r="A7" s="904"/>
      <c r="B7" s="907"/>
      <c r="C7" s="909"/>
      <c r="D7" s="111">
        <v>42814</v>
      </c>
      <c r="E7" s="111">
        <v>43069</v>
      </c>
      <c r="F7" s="912"/>
    </row>
    <row r="8" spans="1:8" x14ac:dyDescent="0.25">
      <c r="A8" s="904"/>
      <c r="B8" s="907"/>
      <c r="C8" s="909"/>
      <c r="D8" s="111">
        <v>43410.500011574077</v>
      </c>
      <c r="E8" s="111">
        <v>43454.999988425923</v>
      </c>
      <c r="F8" s="912"/>
    </row>
    <row r="9" spans="1:8" x14ac:dyDescent="0.25">
      <c r="A9" s="904"/>
      <c r="B9" s="907"/>
      <c r="C9" s="909"/>
      <c r="D9" s="111">
        <v>43509</v>
      </c>
      <c r="E9" s="111">
        <v>43817</v>
      </c>
      <c r="F9" s="912"/>
    </row>
    <row r="10" spans="1:8" x14ac:dyDescent="0.25">
      <c r="A10" s="904"/>
      <c r="B10" s="907"/>
      <c r="C10" s="909"/>
      <c r="D10" s="111">
        <v>43916</v>
      </c>
      <c r="E10" s="111">
        <v>44110</v>
      </c>
      <c r="F10" s="912"/>
    </row>
    <row r="11" spans="1:8" x14ac:dyDescent="0.25">
      <c r="A11" s="904"/>
      <c r="B11" s="907"/>
      <c r="C11" s="909"/>
      <c r="D11" s="111">
        <v>44368</v>
      </c>
      <c r="E11" s="111">
        <v>44546</v>
      </c>
      <c r="F11" s="912"/>
    </row>
    <row r="12" spans="1:8" x14ac:dyDescent="0.25">
      <c r="A12" s="904"/>
      <c r="B12" s="907"/>
      <c r="C12" s="909"/>
      <c r="D12" s="111">
        <v>44741</v>
      </c>
      <c r="E12" s="111">
        <v>44910</v>
      </c>
      <c r="F12" s="912"/>
    </row>
    <row r="13" spans="1:8" x14ac:dyDescent="0.25">
      <c r="A13" s="904"/>
      <c r="B13" s="906"/>
      <c r="C13" s="910"/>
      <c r="D13" s="111">
        <v>45128</v>
      </c>
      <c r="E13" s="111">
        <v>45275</v>
      </c>
      <c r="F13" s="913"/>
    </row>
    <row r="14" spans="1:8" x14ac:dyDescent="0.25">
      <c r="A14" s="904"/>
      <c r="B14" s="914" t="s">
        <v>8</v>
      </c>
      <c r="C14" s="908" t="s">
        <v>78</v>
      </c>
      <c r="D14" s="111">
        <v>43020</v>
      </c>
      <c r="E14" s="111">
        <v>43100</v>
      </c>
      <c r="F14" s="915">
        <f>1500000-180000</f>
        <v>1320000</v>
      </c>
    </row>
    <row r="15" spans="1:8" x14ac:dyDescent="0.25">
      <c r="A15" s="904"/>
      <c r="B15" s="914"/>
      <c r="C15" s="909"/>
      <c r="D15" s="111">
        <v>43153.000011574077</v>
      </c>
      <c r="E15" s="111">
        <v>43434.999988425923</v>
      </c>
      <c r="F15" s="915"/>
    </row>
    <row r="16" spans="1:8" x14ac:dyDescent="0.25">
      <c r="A16" s="904"/>
      <c r="B16" s="914"/>
      <c r="C16" s="910"/>
      <c r="D16" s="111">
        <v>44762</v>
      </c>
      <c r="E16" s="111">
        <v>44910</v>
      </c>
      <c r="F16" s="915"/>
    </row>
    <row r="17" spans="1:6" ht="22.5" x14ac:dyDescent="0.25">
      <c r="A17" s="904"/>
      <c r="B17" s="914"/>
      <c r="C17" s="58" t="s">
        <v>79</v>
      </c>
      <c r="D17" s="111">
        <v>43266</v>
      </c>
      <c r="E17" s="111">
        <v>43297</v>
      </c>
      <c r="F17" s="916">
        <v>1200000</v>
      </c>
    </row>
    <row r="18" spans="1:6" ht="22.5" x14ac:dyDescent="0.25">
      <c r="A18" s="904"/>
      <c r="B18" s="914"/>
      <c r="C18" s="58" t="s">
        <v>338</v>
      </c>
      <c r="D18" s="111" t="s">
        <v>339</v>
      </c>
      <c r="E18" s="111">
        <v>44286</v>
      </c>
      <c r="F18" s="916"/>
    </row>
    <row r="19" spans="1:6" x14ac:dyDescent="0.25">
      <c r="A19" s="904" t="s">
        <v>9</v>
      </c>
      <c r="B19" s="914" t="s">
        <v>10</v>
      </c>
      <c r="C19" s="58" t="s">
        <v>80</v>
      </c>
      <c r="D19" s="111">
        <v>42702</v>
      </c>
      <c r="E19" s="2">
        <v>42751</v>
      </c>
      <c r="F19" s="165">
        <v>79000000</v>
      </c>
    </row>
    <row r="20" spans="1:6" ht="22.5" x14ac:dyDescent="0.25">
      <c r="A20" s="904"/>
      <c r="B20" s="914"/>
      <c r="C20" s="58" t="s">
        <v>500</v>
      </c>
      <c r="D20" s="111">
        <v>44602</v>
      </c>
      <c r="E20" s="110">
        <v>45322</v>
      </c>
      <c r="F20" s="165">
        <v>12000000</v>
      </c>
    </row>
    <row r="21" spans="1:6" x14ac:dyDescent="0.25">
      <c r="A21" s="904"/>
      <c r="B21" s="914"/>
      <c r="C21" s="58" t="s">
        <v>81</v>
      </c>
      <c r="D21" s="111">
        <v>43010</v>
      </c>
      <c r="E21" s="111">
        <v>43042.999305555553</v>
      </c>
      <c r="F21" s="165">
        <v>5000000</v>
      </c>
    </row>
    <row r="22" spans="1:6" x14ac:dyDescent="0.25">
      <c r="A22" s="904"/>
      <c r="B22" s="914"/>
      <c r="C22" s="58" t="s">
        <v>496</v>
      </c>
      <c r="D22" s="111">
        <v>44602</v>
      </c>
      <c r="E22" s="111">
        <v>45363</v>
      </c>
      <c r="F22" s="104">
        <v>6227346.3799999999</v>
      </c>
    </row>
    <row r="23" spans="1:6" x14ac:dyDescent="0.25">
      <c r="A23" s="904"/>
      <c r="B23" s="914"/>
      <c r="C23" s="58" t="s">
        <v>82</v>
      </c>
      <c r="D23" s="111">
        <v>42809.416666666664</v>
      </c>
      <c r="E23" s="111">
        <v>42839.999988425923</v>
      </c>
      <c r="F23" s="165">
        <v>46798515</v>
      </c>
    </row>
    <row r="24" spans="1:6" ht="22.5" x14ac:dyDescent="0.25">
      <c r="A24" s="904"/>
      <c r="B24" s="914"/>
      <c r="C24" s="58" t="s">
        <v>79</v>
      </c>
      <c r="D24" s="111">
        <v>43266</v>
      </c>
      <c r="E24" s="111">
        <v>43297</v>
      </c>
      <c r="F24" s="916">
        <v>60000000</v>
      </c>
    </row>
    <row r="25" spans="1:6" ht="22.5" x14ac:dyDescent="0.25">
      <c r="A25" s="904"/>
      <c r="B25" s="914"/>
      <c r="C25" s="58" t="s">
        <v>338</v>
      </c>
      <c r="D25" s="111" t="s">
        <v>339</v>
      </c>
      <c r="E25" s="111">
        <v>44286</v>
      </c>
      <c r="F25" s="916"/>
    </row>
    <row r="26" spans="1:6" ht="22.5" x14ac:dyDescent="0.25">
      <c r="A26" s="904"/>
      <c r="B26" s="914" t="s">
        <v>11</v>
      </c>
      <c r="C26" s="58" t="s">
        <v>83</v>
      </c>
      <c r="D26" s="111">
        <v>42709</v>
      </c>
      <c r="E26" s="111">
        <v>42751</v>
      </c>
      <c r="F26" s="165">
        <v>25000000</v>
      </c>
    </row>
    <row r="27" spans="1:6" ht="22.5" x14ac:dyDescent="0.25">
      <c r="A27" s="904"/>
      <c r="B27" s="914"/>
      <c r="C27" s="58" t="s">
        <v>499</v>
      </c>
      <c r="D27" s="111">
        <v>44623</v>
      </c>
      <c r="E27" s="111">
        <v>45138</v>
      </c>
      <c r="F27" s="104">
        <v>11484634.48</v>
      </c>
    </row>
    <row r="28" spans="1:6" ht="22.5" x14ac:dyDescent="0.25">
      <c r="A28" s="904"/>
      <c r="B28" s="914"/>
      <c r="C28" s="58" t="s">
        <v>79</v>
      </c>
      <c r="D28" s="111">
        <v>43266</v>
      </c>
      <c r="E28" s="111">
        <v>43297</v>
      </c>
      <c r="F28" s="916">
        <v>16450000</v>
      </c>
    </row>
    <row r="29" spans="1:6" ht="22.5" x14ac:dyDescent="0.25">
      <c r="A29" s="904"/>
      <c r="B29" s="914"/>
      <c r="C29" s="58" t="s">
        <v>338</v>
      </c>
      <c r="D29" s="111" t="s">
        <v>339</v>
      </c>
      <c r="E29" s="111">
        <v>44286</v>
      </c>
      <c r="F29" s="916"/>
    </row>
    <row r="30" spans="1:6" ht="33.75" x14ac:dyDescent="0.25">
      <c r="A30" s="904"/>
      <c r="B30" s="298" t="s">
        <v>12</v>
      </c>
      <c r="C30" s="58" t="s">
        <v>259</v>
      </c>
      <c r="D30" s="111">
        <v>42984</v>
      </c>
      <c r="E30" s="111">
        <v>43014</v>
      </c>
      <c r="F30" s="165">
        <f>'M04'!C30</f>
        <v>55648156</v>
      </c>
    </row>
    <row r="31" spans="1:6" x14ac:dyDescent="0.25">
      <c r="A31" s="904"/>
      <c r="B31" s="905" t="s">
        <v>13</v>
      </c>
      <c r="C31" s="58" t="s">
        <v>84</v>
      </c>
      <c r="D31" s="111">
        <v>43132</v>
      </c>
      <c r="E31" s="111">
        <v>43160</v>
      </c>
      <c r="F31" s="165">
        <v>12242741</v>
      </c>
    </row>
    <row r="32" spans="1:6" ht="22.5" x14ac:dyDescent="0.25">
      <c r="A32" s="904"/>
      <c r="B32" s="906"/>
      <c r="C32" s="58" t="s">
        <v>564</v>
      </c>
      <c r="D32" s="111">
        <v>45085</v>
      </c>
      <c r="E32" s="111">
        <v>45119</v>
      </c>
      <c r="F32" s="165">
        <v>3412416.41</v>
      </c>
    </row>
    <row r="33" spans="1:6" ht="33.75" x14ac:dyDescent="0.25">
      <c r="A33" s="904" t="s">
        <v>14</v>
      </c>
      <c r="B33" s="914" t="s">
        <v>15</v>
      </c>
      <c r="C33" s="58" t="s">
        <v>85</v>
      </c>
      <c r="D33" s="111">
        <v>43500.416678240741</v>
      </c>
      <c r="E33" s="111">
        <v>43648.999988425923</v>
      </c>
      <c r="F33" s="165">
        <v>1400000</v>
      </c>
    </row>
    <row r="34" spans="1:6" ht="33.75" x14ac:dyDescent="0.25">
      <c r="A34" s="904"/>
      <c r="B34" s="914"/>
      <c r="C34" s="58" t="s">
        <v>86</v>
      </c>
      <c r="D34" s="111">
        <v>43885</v>
      </c>
      <c r="E34" s="111">
        <v>44043</v>
      </c>
      <c r="F34" s="301">
        <v>2411000</v>
      </c>
    </row>
    <row r="35" spans="1:6" ht="22.5" x14ac:dyDescent="0.25">
      <c r="A35" s="904"/>
      <c r="B35" s="298" t="s">
        <v>16</v>
      </c>
      <c r="C35" s="58" t="s">
        <v>87</v>
      </c>
      <c r="D35" s="111">
        <v>43052</v>
      </c>
      <c r="E35" s="111">
        <v>43111</v>
      </c>
      <c r="F35" s="165">
        <v>2500000</v>
      </c>
    </row>
    <row r="36" spans="1:6" ht="22.5" x14ac:dyDescent="0.25">
      <c r="A36" s="917"/>
      <c r="B36" s="298" t="s">
        <v>16</v>
      </c>
      <c r="C36" s="58" t="s">
        <v>381</v>
      </c>
      <c r="D36" s="111">
        <v>44195</v>
      </c>
      <c r="E36" s="31">
        <v>44592</v>
      </c>
      <c r="F36" s="165">
        <v>4250000</v>
      </c>
    </row>
    <row r="37" spans="1:6" ht="22.5" x14ac:dyDescent="0.25">
      <c r="A37" s="904"/>
      <c r="B37" s="298" t="s">
        <v>16</v>
      </c>
      <c r="C37" s="58" t="s">
        <v>600</v>
      </c>
      <c r="D37" s="111">
        <v>45261</v>
      </c>
      <c r="E37" s="31">
        <v>45397</v>
      </c>
      <c r="F37" s="165">
        <v>5000000</v>
      </c>
    </row>
    <row r="38" spans="1:6" x14ac:dyDescent="0.25">
      <c r="A38" s="904" t="s">
        <v>17</v>
      </c>
      <c r="B38" s="914" t="s">
        <v>18</v>
      </c>
      <c r="C38" s="58" t="s">
        <v>88</v>
      </c>
      <c r="D38" s="111">
        <v>42809.416666666664</v>
      </c>
      <c r="E38" s="111">
        <v>42839.999988425923</v>
      </c>
      <c r="F38" s="165">
        <f>29580000+9000000+10000000</f>
        <v>48580000</v>
      </c>
    </row>
    <row r="39" spans="1:6" x14ac:dyDescent="0.25">
      <c r="A39" s="904"/>
      <c r="B39" s="914"/>
      <c r="C39" s="58" t="s">
        <v>89</v>
      </c>
      <c r="D39" s="111">
        <v>42809</v>
      </c>
      <c r="E39" s="111">
        <v>42839.999988425923</v>
      </c>
      <c r="F39" s="165">
        <f>21300000+2800000</f>
        <v>24100000</v>
      </c>
    </row>
    <row r="40" spans="1:6" x14ac:dyDescent="0.25">
      <c r="A40" s="904"/>
      <c r="B40" s="914"/>
      <c r="C40" s="58" t="s">
        <v>486</v>
      </c>
      <c r="D40" s="111">
        <v>44596</v>
      </c>
      <c r="E40" s="111">
        <v>44718</v>
      </c>
      <c r="F40" s="165">
        <v>28000000</v>
      </c>
    </row>
    <row r="41" spans="1:6" ht="33.75" x14ac:dyDescent="0.25">
      <c r="A41" s="904"/>
      <c r="B41" s="298" t="s">
        <v>19</v>
      </c>
      <c r="C41" s="58" t="s">
        <v>90</v>
      </c>
      <c r="D41" s="111">
        <v>42992</v>
      </c>
      <c r="E41" s="111">
        <v>43035</v>
      </c>
      <c r="F41" s="165">
        <v>10000000</v>
      </c>
    </row>
    <row r="42" spans="1:6" x14ac:dyDescent="0.25">
      <c r="A42" s="904"/>
      <c r="B42" s="905" t="s">
        <v>20</v>
      </c>
      <c r="C42" s="908" t="s">
        <v>107</v>
      </c>
      <c r="D42" s="111">
        <v>42992</v>
      </c>
      <c r="E42" s="111">
        <v>43035</v>
      </c>
      <c r="F42" s="165">
        <v>8000000</v>
      </c>
    </row>
    <row r="43" spans="1:6" x14ac:dyDescent="0.25">
      <c r="A43" s="917"/>
      <c r="B43" s="906"/>
      <c r="C43" s="910"/>
      <c r="D43" s="423">
        <v>45404</v>
      </c>
      <c r="E43" s="423">
        <v>45475</v>
      </c>
      <c r="F43" s="165">
        <v>2200000</v>
      </c>
    </row>
    <row r="44" spans="1:6" ht="22.5" x14ac:dyDescent="0.25">
      <c r="A44" s="904"/>
      <c r="B44" s="298" t="s">
        <v>21</v>
      </c>
      <c r="C44" s="58" t="s">
        <v>91</v>
      </c>
      <c r="D44" s="111">
        <v>42992</v>
      </c>
      <c r="E44" s="111">
        <v>43035</v>
      </c>
      <c r="F44" s="165">
        <v>10000000</v>
      </c>
    </row>
    <row r="45" spans="1:6" ht="45" x14ac:dyDescent="0.25">
      <c r="A45" s="904" t="s">
        <v>22</v>
      </c>
      <c r="B45" s="116" t="s">
        <v>23</v>
      </c>
      <c r="C45" s="58" t="s">
        <v>260</v>
      </c>
      <c r="D45" s="111">
        <v>43829</v>
      </c>
      <c r="E45" s="111">
        <v>44043</v>
      </c>
      <c r="F45" s="165">
        <v>1000000</v>
      </c>
    </row>
    <row r="46" spans="1:6" x14ac:dyDescent="0.25">
      <c r="A46" s="904"/>
      <c r="B46" s="921" t="s">
        <v>24</v>
      </c>
      <c r="C46" s="58" t="s">
        <v>92</v>
      </c>
      <c r="D46" s="111">
        <v>43287.416678240741</v>
      </c>
      <c r="E46" s="111">
        <v>43361.584016203706</v>
      </c>
      <c r="F46" s="923">
        <v>4125000</v>
      </c>
    </row>
    <row r="47" spans="1:6" ht="22.5" x14ac:dyDescent="0.25">
      <c r="A47" s="904"/>
      <c r="B47" s="922"/>
      <c r="C47" s="58" t="s">
        <v>501</v>
      </c>
      <c r="D47" s="111">
        <v>44636</v>
      </c>
      <c r="E47" s="111">
        <v>44718</v>
      </c>
      <c r="F47" s="924"/>
    </row>
    <row r="48" spans="1:6" ht="22.5" x14ac:dyDescent="0.25">
      <c r="A48" s="904"/>
      <c r="B48" s="298" t="s">
        <v>25</v>
      </c>
      <c r="C48" s="58" t="s">
        <v>93</v>
      </c>
      <c r="D48" s="111">
        <v>42368</v>
      </c>
      <c r="E48" s="111"/>
      <c r="F48" s="302">
        <v>16218739</v>
      </c>
    </row>
    <row r="49" spans="1:9" ht="22.5" x14ac:dyDescent="0.25">
      <c r="A49" s="904"/>
      <c r="B49" s="116" t="s">
        <v>26</v>
      </c>
      <c r="C49" s="58" t="s">
        <v>96</v>
      </c>
      <c r="D49" s="303" t="s">
        <v>77</v>
      </c>
      <c r="E49" s="303" t="s">
        <v>77</v>
      </c>
      <c r="F49" s="304" t="s">
        <v>77</v>
      </c>
    </row>
    <row r="50" spans="1:9" ht="22.5" x14ac:dyDescent="0.25">
      <c r="A50" s="904"/>
      <c r="B50" s="116" t="s">
        <v>27</v>
      </c>
      <c r="C50" s="58" t="s">
        <v>94</v>
      </c>
      <c r="D50" s="111">
        <v>43535.416678240741</v>
      </c>
      <c r="E50" s="111">
        <v>43585.583321759259</v>
      </c>
      <c r="F50" s="302">
        <v>736791</v>
      </c>
    </row>
    <row r="51" spans="1:9" ht="33.75" x14ac:dyDescent="0.25">
      <c r="A51" s="904"/>
      <c r="B51" s="116" t="s">
        <v>28</v>
      </c>
      <c r="C51" s="58" t="s">
        <v>95</v>
      </c>
      <c r="D51" s="111">
        <v>43287.416678240741</v>
      </c>
      <c r="E51" s="111">
        <v>43361.584016203706</v>
      </c>
      <c r="F51" s="165">
        <v>3000000</v>
      </c>
    </row>
    <row r="52" spans="1:9" ht="33.75" x14ac:dyDescent="0.25">
      <c r="A52" s="904" t="s">
        <v>29</v>
      </c>
      <c r="B52" s="116" t="s">
        <v>30</v>
      </c>
      <c r="C52" s="58" t="s">
        <v>628</v>
      </c>
      <c r="D52" s="58" t="s">
        <v>77</v>
      </c>
      <c r="E52" s="58" t="s">
        <v>77</v>
      </c>
      <c r="F52" s="165">
        <v>15967539.303690501</v>
      </c>
    </row>
    <row r="53" spans="1:9" ht="45" x14ac:dyDescent="0.25">
      <c r="A53" s="904"/>
      <c r="B53" s="116" t="s">
        <v>31</v>
      </c>
      <c r="C53" s="58" t="s">
        <v>251</v>
      </c>
      <c r="D53" s="305">
        <v>43507.000011574077</v>
      </c>
      <c r="E53" s="111">
        <v>43644</v>
      </c>
      <c r="F53" s="165">
        <v>10357998</v>
      </c>
    </row>
    <row r="54" spans="1:9" ht="45" x14ac:dyDescent="0.25">
      <c r="A54" s="904"/>
      <c r="B54" s="116" t="s">
        <v>32</v>
      </c>
      <c r="C54" s="58" t="s">
        <v>97</v>
      </c>
      <c r="D54" s="111">
        <v>43299.000011574077</v>
      </c>
      <c r="E54" s="111">
        <v>43434.999988425923</v>
      </c>
      <c r="F54" s="165">
        <v>5378167</v>
      </c>
    </row>
    <row r="55" spans="1:9" ht="22.5" x14ac:dyDescent="0.25">
      <c r="A55" s="178" t="s">
        <v>33</v>
      </c>
      <c r="B55" s="116" t="s">
        <v>34</v>
      </c>
      <c r="C55" s="58" t="s">
        <v>98</v>
      </c>
      <c r="D55" s="111">
        <v>42586</v>
      </c>
      <c r="E55" s="111">
        <v>43753</v>
      </c>
      <c r="F55" s="165">
        <v>305000</v>
      </c>
    </row>
    <row r="56" spans="1:9" s="23" customFormat="1" ht="36.75" customHeight="1" x14ac:dyDescent="0.25">
      <c r="A56" s="917" t="s">
        <v>35</v>
      </c>
      <c r="B56" s="584" t="s">
        <v>36</v>
      </c>
      <c r="C56" s="388" t="s">
        <v>676</v>
      </c>
      <c r="D56" s="925" t="s">
        <v>340</v>
      </c>
      <c r="E56" s="925"/>
      <c r="F56" s="926">
        <v>83920532.772275597</v>
      </c>
    </row>
    <row r="57" spans="1:9" s="23" customFormat="1" ht="36" customHeight="1" x14ac:dyDescent="0.25">
      <c r="A57" s="917"/>
      <c r="B57" s="584" t="s">
        <v>37</v>
      </c>
      <c r="C57" s="388" t="s">
        <v>677</v>
      </c>
      <c r="D57" s="925" t="s">
        <v>341</v>
      </c>
      <c r="E57" s="925"/>
      <c r="F57" s="927"/>
    </row>
    <row r="58" spans="1:9" s="23" customFormat="1" ht="34.5" customHeight="1" x14ac:dyDescent="0.25">
      <c r="A58" s="917"/>
      <c r="B58" s="584" t="s">
        <v>38</v>
      </c>
      <c r="C58" s="388" t="s">
        <v>678</v>
      </c>
      <c r="D58" s="925" t="s">
        <v>341</v>
      </c>
      <c r="E58" s="925"/>
      <c r="F58" s="927"/>
    </row>
    <row r="59" spans="1:9" s="23" customFormat="1" ht="29.25" customHeight="1" x14ac:dyDescent="0.25">
      <c r="A59" s="917"/>
      <c r="B59" s="584" t="s">
        <v>39</v>
      </c>
      <c r="C59" s="388" t="s">
        <v>679</v>
      </c>
      <c r="D59" s="925" t="s">
        <v>341</v>
      </c>
      <c r="E59" s="925"/>
      <c r="F59" s="927"/>
    </row>
    <row r="60" spans="1:9" ht="22.5" x14ac:dyDescent="0.25">
      <c r="A60" s="928" t="s">
        <v>40</v>
      </c>
      <c r="B60" s="934" t="s">
        <v>36</v>
      </c>
      <c r="C60" s="908" t="s">
        <v>675</v>
      </c>
      <c r="D60" s="495" t="s">
        <v>99</v>
      </c>
      <c r="E60" s="495" t="s">
        <v>342</v>
      </c>
      <c r="F60" s="585">
        <v>89046997.958500281</v>
      </c>
    </row>
    <row r="61" spans="1:9" ht="45" x14ac:dyDescent="0.25">
      <c r="A61" s="929"/>
      <c r="B61" s="935"/>
      <c r="C61" s="910"/>
      <c r="D61" s="495" t="s">
        <v>584</v>
      </c>
      <c r="E61" s="495" t="s">
        <v>680</v>
      </c>
      <c r="F61" s="586">
        <v>42053949.590000033</v>
      </c>
    </row>
    <row r="62" spans="1:9" ht="33" customHeight="1" x14ac:dyDescent="0.25">
      <c r="A62" s="929"/>
      <c r="B62" s="934" t="s">
        <v>37</v>
      </c>
      <c r="C62" s="908" t="s">
        <v>675</v>
      </c>
      <c r="D62" s="495" t="s">
        <v>99</v>
      </c>
      <c r="E62" s="495" t="s">
        <v>343</v>
      </c>
      <c r="F62" s="585">
        <v>8629499.5900000036</v>
      </c>
    </row>
    <row r="63" spans="1:9" ht="31.5" customHeight="1" x14ac:dyDescent="0.25">
      <c r="A63" s="929"/>
      <c r="B63" s="935"/>
      <c r="C63" s="910"/>
      <c r="D63" s="495" t="s">
        <v>399</v>
      </c>
      <c r="E63" s="495" t="s">
        <v>400</v>
      </c>
      <c r="F63" s="585">
        <v>7367244.2300000014</v>
      </c>
      <c r="I63" s="50"/>
    </row>
    <row r="64" spans="1:9" ht="29.25" customHeight="1" x14ac:dyDescent="0.25">
      <c r="A64" s="929"/>
      <c r="B64" s="587" t="s">
        <v>38</v>
      </c>
      <c r="C64" s="588"/>
      <c r="D64" s="589"/>
      <c r="E64" s="589"/>
      <c r="F64" s="589"/>
    </row>
    <row r="65" spans="1:9" ht="33.75" x14ac:dyDescent="0.25">
      <c r="A65" s="929"/>
      <c r="B65" s="584" t="s">
        <v>41</v>
      </c>
      <c r="C65" s="388" t="s">
        <v>681</v>
      </c>
      <c r="D65" s="382" t="s">
        <v>531</v>
      </c>
      <c r="E65" s="382" t="s">
        <v>585</v>
      </c>
      <c r="F65" s="376">
        <v>75000</v>
      </c>
    </row>
    <row r="66" spans="1:9" s="23" customFormat="1" ht="67.5" x14ac:dyDescent="0.25">
      <c r="A66" s="929"/>
      <c r="B66" s="936" t="s">
        <v>39</v>
      </c>
      <c r="C66" s="388" t="s">
        <v>682</v>
      </c>
      <c r="D66" s="382" t="s">
        <v>304</v>
      </c>
      <c r="E66" s="382" t="s">
        <v>683</v>
      </c>
      <c r="F66" s="376">
        <v>8736050.0300000012</v>
      </c>
    </row>
    <row r="67" spans="1:9" s="23" customFormat="1" ht="33.75" x14ac:dyDescent="0.25">
      <c r="A67" s="930"/>
      <c r="B67" s="937"/>
      <c r="C67" s="388" t="s">
        <v>684</v>
      </c>
      <c r="D67" s="382" t="s">
        <v>532</v>
      </c>
      <c r="E67" s="382" t="s">
        <v>685</v>
      </c>
      <c r="F67" s="376">
        <v>9999999.9999999907</v>
      </c>
    </row>
    <row r="68" spans="1:9" ht="39" customHeight="1" x14ac:dyDescent="0.25">
      <c r="A68" s="583" t="s">
        <v>45</v>
      </c>
      <c r="B68" s="587" t="s">
        <v>43</v>
      </c>
      <c r="C68" s="388" t="s">
        <v>686</v>
      </c>
      <c r="D68" s="939" t="s">
        <v>344</v>
      </c>
      <c r="E68" s="939"/>
      <c r="F68" s="926">
        <v>22500000.000000004</v>
      </c>
    </row>
    <row r="69" spans="1:9" ht="39" customHeight="1" x14ac:dyDescent="0.25">
      <c r="A69" s="583" t="s">
        <v>46</v>
      </c>
      <c r="B69" s="587" t="s">
        <v>44</v>
      </c>
      <c r="C69" s="388" t="s">
        <v>686</v>
      </c>
      <c r="D69" s="939" t="s">
        <v>344</v>
      </c>
      <c r="E69" s="939"/>
      <c r="F69" s="926"/>
    </row>
    <row r="70" spans="1:9" ht="30" customHeight="1" x14ac:dyDescent="0.25">
      <c r="A70" s="928" t="s">
        <v>398</v>
      </c>
      <c r="B70" s="931" t="s">
        <v>401</v>
      </c>
      <c r="C70" s="908" t="s">
        <v>675</v>
      </c>
      <c r="D70" s="382" t="s">
        <v>402</v>
      </c>
      <c r="E70" s="495" t="s">
        <v>403</v>
      </c>
      <c r="F70" s="386">
        <v>9710369.4399999976</v>
      </c>
      <c r="I70" s="50"/>
    </row>
    <row r="71" spans="1:9" ht="22.5" x14ac:dyDescent="0.25">
      <c r="A71" s="929"/>
      <c r="B71" s="932"/>
      <c r="C71" s="909"/>
      <c r="D71" s="382" t="s">
        <v>404</v>
      </c>
      <c r="E71" s="495" t="s">
        <v>405</v>
      </c>
      <c r="F71" s="386">
        <v>3279406.8595000003</v>
      </c>
      <c r="I71" s="50"/>
    </row>
    <row r="72" spans="1:9" ht="22.5" x14ac:dyDescent="0.25">
      <c r="A72" s="929"/>
      <c r="B72" s="932"/>
      <c r="C72" s="909"/>
      <c r="D72" s="382" t="s">
        <v>406</v>
      </c>
      <c r="E72" s="495" t="s">
        <v>407</v>
      </c>
      <c r="F72" s="386">
        <v>33163222.053500004</v>
      </c>
      <c r="I72" s="50"/>
    </row>
    <row r="73" spans="1:9" ht="56.25" x14ac:dyDescent="0.25">
      <c r="A73" s="929"/>
      <c r="B73" s="932"/>
      <c r="C73" s="909"/>
      <c r="D73" s="382" t="s">
        <v>408</v>
      </c>
      <c r="E73" s="495" t="s">
        <v>687</v>
      </c>
      <c r="F73" s="386">
        <v>9481523.3694999963</v>
      </c>
    </row>
    <row r="74" spans="1:9" ht="45" x14ac:dyDescent="0.25">
      <c r="A74" s="929"/>
      <c r="B74" s="932"/>
      <c r="C74" s="909"/>
      <c r="D74" s="382" t="s">
        <v>409</v>
      </c>
      <c r="E74" s="495" t="s">
        <v>570</v>
      </c>
      <c r="F74" s="386">
        <v>8568265.055499997</v>
      </c>
    </row>
    <row r="75" spans="1:9" ht="45" x14ac:dyDescent="0.25">
      <c r="A75" s="929"/>
      <c r="B75" s="932"/>
      <c r="C75" s="909"/>
      <c r="D75" s="382" t="s">
        <v>410</v>
      </c>
      <c r="E75" s="495" t="s">
        <v>688</v>
      </c>
      <c r="F75" s="386">
        <v>6823692.1500000041</v>
      </c>
    </row>
    <row r="76" spans="1:9" ht="45" x14ac:dyDescent="0.25">
      <c r="A76" s="930"/>
      <c r="B76" s="933"/>
      <c r="C76" s="910"/>
      <c r="D76" s="382" t="s">
        <v>521</v>
      </c>
      <c r="E76" s="495" t="s">
        <v>689</v>
      </c>
      <c r="F76" s="386">
        <v>3521475.2</v>
      </c>
    </row>
    <row r="77" spans="1:9" x14ac:dyDescent="0.25">
      <c r="A77" s="950" t="s">
        <v>47</v>
      </c>
      <c r="B77" s="951" t="s">
        <v>48</v>
      </c>
      <c r="C77" s="403" t="s">
        <v>100</v>
      </c>
      <c r="D77" s="939" t="s">
        <v>345</v>
      </c>
      <c r="E77" s="939"/>
      <c r="F77" s="386">
        <v>1546988.40999987</v>
      </c>
    </row>
    <row r="78" spans="1:9" ht="21" customHeight="1" x14ac:dyDescent="0.25">
      <c r="A78" s="950"/>
      <c r="B78" s="951"/>
      <c r="C78" s="938" t="s">
        <v>675</v>
      </c>
      <c r="D78" s="939" t="s">
        <v>522</v>
      </c>
      <c r="E78" s="939"/>
      <c r="F78" s="911">
        <v>389427658.47800016</v>
      </c>
    </row>
    <row r="79" spans="1:9" ht="21" customHeight="1" x14ac:dyDescent="0.25">
      <c r="A79" s="950"/>
      <c r="B79" s="951"/>
      <c r="C79" s="938"/>
      <c r="D79" s="939"/>
      <c r="E79" s="939"/>
      <c r="F79" s="912"/>
    </row>
    <row r="80" spans="1:9" ht="21" customHeight="1" x14ac:dyDescent="0.25">
      <c r="A80" s="399" t="s">
        <v>627</v>
      </c>
      <c r="B80" s="400" t="s">
        <v>120</v>
      </c>
      <c r="C80" s="403" t="s">
        <v>675</v>
      </c>
      <c r="D80" s="943" t="s">
        <v>629</v>
      </c>
      <c r="E80" s="944"/>
      <c r="F80" s="912"/>
    </row>
    <row r="81" spans="1:6" ht="33" customHeight="1" x14ac:dyDescent="0.25">
      <c r="A81" s="399" t="s">
        <v>47</v>
      </c>
      <c r="B81" s="400" t="s">
        <v>48</v>
      </c>
      <c r="C81" s="403" t="s">
        <v>675</v>
      </c>
      <c r="D81" s="943" t="s">
        <v>690</v>
      </c>
      <c r="E81" s="944"/>
      <c r="F81" s="913"/>
    </row>
    <row r="82" spans="1:6" ht="15" customHeight="1" x14ac:dyDescent="0.25">
      <c r="A82" s="928" t="s">
        <v>49</v>
      </c>
      <c r="B82" s="934" t="s">
        <v>50</v>
      </c>
      <c r="C82" s="403" t="s">
        <v>100</v>
      </c>
      <c r="D82" s="939" t="s">
        <v>101</v>
      </c>
      <c r="E82" s="939"/>
      <c r="F82" s="386">
        <v>32588366.609999999</v>
      </c>
    </row>
    <row r="83" spans="1:6" ht="20.25" customHeight="1" x14ac:dyDescent="0.25">
      <c r="A83" s="929"/>
      <c r="B83" s="945"/>
      <c r="C83" s="940" t="s">
        <v>691</v>
      </c>
      <c r="D83" s="946" t="s">
        <v>692</v>
      </c>
      <c r="E83" s="947"/>
      <c r="F83" s="911">
        <v>313361622.16099942</v>
      </c>
    </row>
    <row r="84" spans="1:6" ht="31.5" customHeight="1" x14ac:dyDescent="0.25">
      <c r="A84" s="930"/>
      <c r="B84" s="935"/>
      <c r="C84" s="942"/>
      <c r="D84" s="948"/>
      <c r="E84" s="949"/>
      <c r="F84" s="913"/>
    </row>
    <row r="85" spans="1:6" ht="26.25" customHeight="1" x14ac:dyDescent="0.25">
      <c r="A85" s="928" t="s">
        <v>51</v>
      </c>
      <c r="B85" s="931" t="s">
        <v>52</v>
      </c>
      <c r="C85" s="403" t="s">
        <v>693</v>
      </c>
      <c r="D85" s="939" t="s">
        <v>101</v>
      </c>
      <c r="E85" s="939"/>
      <c r="F85" s="376">
        <v>317071.90000000002</v>
      </c>
    </row>
    <row r="86" spans="1:6" ht="22.5" x14ac:dyDescent="0.25">
      <c r="A86" s="929"/>
      <c r="B86" s="932"/>
      <c r="C86" s="940" t="s">
        <v>675</v>
      </c>
      <c r="D86" s="495" t="s">
        <v>283</v>
      </c>
      <c r="E86" s="495" t="s">
        <v>343</v>
      </c>
      <c r="F86" s="376">
        <v>3879265</v>
      </c>
    </row>
    <row r="87" spans="1:6" ht="33.75" x14ac:dyDescent="0.25">
      <c r="A87" s="929"/>
      <c r="B87" s="932"/>
      <c r="C87" s="941"/>
      <c r="D87" s="382" t="s">
        <v>411</v>
      </c>
      <c r="E87" s="495" t="s">
        <v>346</v>
      </c>
      <c r="F87" s="376">
        <v>1356005</v>
      </c>
    </row>
    <row r="88" spans="1:6" ht="33.75" x14ac:dyDescent="0.25">
      <c r="A88" s="930"/>
      <c r="B88" s="933"/>
      <c r="C88" s="942"/>
      <c r="D88" s="382" t="s">
        <v>412</v>
      </c>
      <c r="E88" s="495" t="s">
        <v>413</v>
      </c>
      <c r="F88" s="376">
        <v>1750000</v>
      </c>
    </row>
    <row r="89" spans="1:6" x14ac:dyDescent="0.25">
      <c r="A89" s="904" t="s">
        <v>53</v>
      </c>
      <c r="B89" s="920" t="s">
        <v>54</v>
      </c>
      <c r="C89" s="58" t="s">
        <v>102</v>
      </c>
      <c r="D89" s="111">
        <v>42909</v>
      </c>
      <c r="E89" s="111">
        <v>42993</v>
      </c>
      <c r="F89" s="165">
        <v>935530.42</v>
      </c>
    </row>
    <row r="90" spans="1:6" x14ac:dyDescent="0.25">
      <c r="A90" s="904"/>
      <c r="B90" s="920"/>
      <c r="C90" s="58" t="s">
        <v>246</v>
      </c>
      <c r="D90" s="111">
        <v>43818</v>
      </c>
      <c r="E90" s="111">
        <v>44151</v>
      </c>
      <c r="F90" s="165">
        <v>9907279</v>
      </c>
    </row>
    <row r="91" spans="1:6" ht="33.75" x14ac:dyDescent="0.25">
      <c r="A91" s="178" t="s">
        <v>55</v>
      </c>
      <c r="B91" s="116" t="s">
        <v>56</v>
      </c>
      <c r="C91" s="58" t="s">
        <v>103</v>
      </c>
      <c r="D91" s="111">
        <v>43307.000706018516</v>
      </c>
      <c r="E91" s="111">
        <v>43448.999988425923</v>
      </c>
      <c r="F91" s="165">
        <v>8670000</v>
      </c>
    </row>
    <row r="92" spans="1:6" x14ac:dyDescent="0.25">
      <c r="A92" s="178" t="s">
        <v>57</v>
      </c>
      <c r="B92" s="116" t="s">
        <v>58</v>
      </c>
      <c r="C92" s="58" t="s">
        <v>104</v>
      </c>
      <c r="D92" s="111">
        <v>43236.000011574077</v>
      </c>
      <c r="E92" s="111">
        <v>43395.999988425923</v>
      </c>
      <c r="F92" s="165">
        <v>3020000</v>
      </c>
    </row>
    <row r="93" spans="1:6" ht="33.75" x14ac:dyDescent="0.25">
      <c r="A93" s="178" t="s">
        <v>59</v>
      </c>
      <c r="B93" s="116" t="s">
        <v>60</v>
      </c>
      <c r="C93" s="58" t="s">
        <v>105</v>
      </c>
      <c r="D93" s="111">
        <v>43525.000706018516</v>
      </c>
      <c r="E93" s="111">
        <v>43769.999988425923</v>
      </c>
      <c r="F93" s="165">
        <v>1880000</v>
      </c>
    </row>
    <row r="94" spans="1:6" ht="22.5" x14ac:dyDescent="0.25">
      <c r="A94" s="178" t="s">
        <v>61</v>
      </c>
      <c r="B94" s="116" t="s">
        <v>62</v>
      </c>
      <c r="C94" s="58" t="s">
        <v>106</v>
      </c>
      <c r="D94" s="111">
        <v>42767</v>
      </c>
      <c r="E94" s="111">
        <v>43008</v>
      </c>
      <c r="F94" s="165">
        <v>2150000</v>
      </c>
    </row>
    <row r="95" spans="1:6" ht="22.5" x14ac:dyDescent="0.25">
      <c r="A95" s="178" t="s">
        <v>63</v>
      </c>
      <c r="B95" s="116" t="s">
        <v>64</v>
      </c>
      <c r="C95" s="58" t="s">
        <v>107</v>
      </c>
      <c r="D95" s="111">
        <v>43096</v>
      </c>
      <c r="E95" s="111">
        <v>43251</v>
      </c>
      <c r="F95" s="165">
        <v>1050000</v>
      </c>
    </row>
    <row r="96" spans="1:6" x14ac:dyDescent="0.25">
      <c r="A96" s="178" t="s">
        <v>65</v>
      </c>
      <c r="B96" s="116" t="s">
        <v>66</v>
      </c>
      <c r="C96" s="58" t="s">
        <v>108</v>
      </c>
      <c r="D96" s="111">
        <v>42810.000011574077</v>
      </c>
      <c r="E96" s="111">
        <v>43069.999988425923</v>
      </c>
      <c r="F96" s="113">
        <v>725817</v>
      </c>
    </row>
    <row r="97" spans="1:6" x14ac:dyDescent="0.25">
      <c r="A97" s="297" t="s">
        <v>67</v>
      </c>
      <c r="B97" s="116" t="s">
        <v>68</v>
      </c>
      <c r="C97" s="58" t="s">
        <v>267</v>
      </c>
      <c r="D97" s="111">
        <v>43067.000011574077</v>
      </c>
      <c r="E97" s="111">
        <v>43861</v>
      </c>
      <c r="F97" s="165">
        <v>64000000</v>
      </c>
    </row>
    <row r="98" spans="1:6" ht="33.75" x14ac:dyDescent="0.25">
      <c r="A98" s="178" t="s">
        <v>69</v>
      </c>
      <c r="B98" s="116" t="s">
        <v>70</v>
      </c>
      <c r="C98" s="58" t="s">
        <v>110</v>
      </c>
      <c r="D98" s="111">
        <v>43073.000011574077</v>
      </c>
      <c r="E98" s="111">
        <v>43251</v>
      </c>
      <c r="F98" s="165">
        <v>2391596</v>
      </c>
    </row>
    <row r="99" spans="1:6" ht="22.5" x14ac:dyDescent="0.25">
      <c r="A99" s="178" t="s">
        <v>71</v>
      </c>
      <c r="B99" s="116" t="s">
        <v>72</v>
      </c>
      <c r="C99" s="58" t="s">
        <v>111</v>
      </c>
      <c r="D99" s="111">
        <v>43053.000694444447</v>
      </c>
      <c r="E99" s="111">
        <v>43374.999988425923</v>
      </c>
      <c r="F99" s="257">
        <v>10000000</v>
      </c>
    </row>
    <row r="100" spans="1:6" ht="34.5" x14ac:dyDescent="0.25">
      <c r="A100" s="178" t="s">
        <v>315</v>
      </c>
      <c r="B100" s="306" t="s">
        <v>385</v>
      </c>
      <c r="C100" s="58" t="s">
        <v>313</v>
      </c>
      <c r="D100" s="111">
        <v>44102</v>
      </c>
      <c r="E100" s="111">
        <v>44141</v>
      </c>
      <c r="F100" s="257">
        <v>4000000</v>
      </c>
    </row>
    <row r="101" spans="1:6" x14ac:dyDescent="0.25">
      <c r="A101" s="918" t="s">
        <v>128</v>
      </c>
      <c r="B101" s="918"/>
      <c r="C101" s="918"/>
      <c r="D101" s="918"/>
      <c r="E101" s="918"/>
      <c r="F101" s="194">
        <f>SUM(F3:F100)</f>
        <v>1752060773.3314662</v>
      </c>
    </row>
    <row r="102" spans="1:6" ht="48.75" customHeight="1" x14ac:dyDescent="0.25">
      <c r="A102" s="919" t="s">
        <v>699</v>
      </c>
      <c r="B102" s="919"/>
      <c r="C102" s="919"/>
      <c r="D102" s="919"/>
      <c r="E102" s="919"/>
      <c r="F102" s="919"/>
    </row>
  </sheetData>
  <mergeCells count="67">
    <mergeCell ref="A85:A88"/>
    <mergeCell ref="B85:B88"/>
    <mergeCell ref="D85:E85"/>
    <mergeCell ref="C86:C88"/>
    <mergeCell ref="F78:F81"/>
    <mergeCell ref="D80:E80"/>
    <mergeCell ref="D81:E81"/>
    <mergeCell ref="A82:A84"/>
    <mergeCell ref="B82:B84"/>
    <mergeCell ref="D82:E82"/>
    <mergeCell ref="C83:C84"/>
    <mergeCell ref="D83:E84"/>
    <mergeCell ref="F83:F84"/>
    <mergeCell ref="A77:A79"/>
    <mergeCell ref="B77:B79"/>
    <mergeCell ref="D77:E77"/>
    <mergeCell ref="C78:C79"/>
    <mergeCell ref="D78:E79"/>
    <mergeCell ref="D68:E68"/>
    <mergeCell ref="F68:F69"/>
    <mergeCell ref="D69:E69"/>
    <mergeCell ref="C70:C76"/>
    <mergeCell ref="A60:A67"/>
    <mergeCell ref="B60:B61"/>
    <mergeCell ref="C60:C61"/>
    <mergeCell ref="B62:B63"/>
    <mergeCell ref="C62:C63"/>
    <mergeCell ref="B66:B67"/>
    <mergeCell ref="A101:E101"/>
    <mergeCell ref="A102:F102"/>
    <mergeCell ref="A89:A90"/>
    <mergeCell ref="B89:B90"/>
    <mergeCell ref="A45:A51"/>
    <mergeCell ref="B46:B47"/>
    <mergeCell ref="F46:F47"/>
    <mergeCell ref="A52:A54"/>
    <mergeCell ref="A56:A59"/>
    <mergeCell ref="D56:E56"/>
    <mergeCell ref="F56:F59"/>
    <mergeCell ref="D57:E57"/>
    <mergeCell ref="D58:E58"/>
    <mergeCell ref="D59:E59"/>
    <mergeCell ref="A70:A76"/>
    <mergeCell ref="B70:B76"/>
    <mergeCell ref="C42:C43"/>
    <mergeCell ref="F17:F18"/>
    <mergeCell ref="A19:A32"/>
    <mergeCell ref="B19:B25"/>
    <mergeCell ref="F24:F25"/>
    <mergeCell ref="B26:B29"/>
    <mergeCell ref="F28:F29"/>
    <mergeCell ref="B31:B32"/>
    <mergeCell ref="A33:A37"/>
    <mergeCell ref="B33:B34"/>
    <mergeCell ref="A38:A44"/>
    <mergeCell ref="B38:B40"/>
    <mergeCell ref="B42:B43"/>
    <mergeCell ref="A1:F1"/>
    <mergeCell ref="A4:A5"/>
    <mergeCell ref="B4:B5"/>
    <mergeCell ref="A6:A18"/>
    <mergeCell ref="B6:B13"/>
    <mergeCell ref="C6:C13"/>
    <mergeCell ref="F6:F13"/>
    <mergeCell ref="B14:B18"/>
    <mergeCell ref="C14:C16"/>
    <mergeCell ref="F14:F16"/>
  </mergeCells>
  <printOptions horizontalCentered="1"/>
  <pageMargins left="0.59055118110236227" right="0.59055118110236227" top="0.78740157480314965" bottom="0.78740157480314965" header="0.31496062992125984" footer="0.31496062992125984"/>
  <pageSetup paperSize="9" scale="65" orientation="portrait" r:id="rId1"/>
  <rowBreaks count="2" manualBreakCount="2">
    <brk id="51" max="5" man="1"/>
    <brk id="76"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31"/>
  <sheetViews>
    <sheetView view="pageBreakPreview" topLeftCell="A134" zoomScaleNormal="85" zoomScaleSheetLayoutView="100" zoomScalePageLayoutView="40" workbookViewId="0">
      <selection activeCell="A2" sqref="A2:XFD2"/>
    </sheetView>
  </sheetViews>
  <sheetFormatPr defaultRowHeight="15" x14ac:dyDescent="0.25"/>
  <cols>
    <col min="1" max="1" width="12.85546875" customWidth="1"/>
    <col min="2" max="2" width="7.28515625" customWidth="1"/>
    <col min="3" max="3" width="31.140625" customWidth="1"/>
    <col min="4" max="4" width="10.5703125" bestFit="1" customWidth="1"/>
    <col min="5" max="5" width="12.42578125" customWidth="1"/>
    <col min="6" max="6" width="10.140625" customWidth="1"/>
    <col min="7" max="7" width="13.7109375" style="192" customWidth="1"/>
  </cols>
  <sheetData>
    <row r="1" spans="1:7" ht="29.45" customHeight="1" x14ac:dyDescent="0.25">
      <c r="A1" s="903" t="s">
        <v>715</v>
      </c>
      <c r="B1" s="903"/>
      <c r="C1" s="903"/>
      <c r="D1" s="903"/>
      <c r="E1" s="903"/>
      <c r="F1" s="903"/>
      <c r="G1" s="903"/>
    </row>
    <row r="2" spans="1:7" ht="45" x14ac:dyDescent="0.25">
      <c r="A2" s="543" t="s">
        <v>297</v>
      </c>
      <c r="B2" s="204" t="s">
        <v>347</v>
      </c>
      <c r="C2" s="204" t="s">
        <v>156</v>
      </c>
      <c r="D2" s="204" t="s">
        <v>298</v>
      </c>
      <c r="E2" s="204" t="s">
        <v>382</v>
      </c>
      <c r="F2" s="204" t="s">
        <v>158</v>
      </c>
      <c r="G2" s="167" t="s">
        <v>599</v>
      </c>
    </row>
    <row r="3" spans="1:7" s="23" customFormat="1" ht="22.5" x14ac:dyDescent="0.25">
      <c r="A3" s="952" t="s">
        <v>323</v>
      </c>
      <c r="B3" s="382" t="s">
        <v>541</v>
      </c>
      <c r="C3" s="380" t="s">
        <v>324</v>
      </c>
      <c r="D3" s="381">
        <v>50221</v>
      </c>
      <c r="E3" s="385">
        <v>44102</v>
      </c>
      <c r="F3" s="367">
        <v>44407</v>
      </c>
      <c r="G3" s="544">
        <v>342211.46</v>
      </c>
    </row>
    <row r="4" spans="1:7" s="23" customFormat="1" ht="22.5" x14ac:dyDescent="0.25">
      <c r="A4" s="952"/>
      <c r="B4" s="382" t="s">
        <v>242</v>
      </c>
      <c r="C4" s="380" t="s">
        <v>325</v>
      </c>
      <c r="D4" s="381">
        <v>48963</v>
      </c>
      <c r="E4" s="385">
        <v>44102</v>
      </c>
      <c r="F4" s="367">
        <v>44267</v>
      </c>
      <c r="G4" s="544">
        <v>615000</v>
      </c>
    </row>
    <row r="5" spans="1:7" s="23" customFormat="1" ht="22.5" x14ac:dyDescent="0.25">
      <c r="A5" s="952"/>
      <c r="B5" s="382" t="s">
        <v>540</v>
      </c>
      <c r="C5" s="380" t="s">
        <v>373</v>
      </c>
      <c r="D5" s="381">
        <v>51822</v>
      </c>
      <c r="E5" s="385">
        <v>44182</v>
      </c>
      <c r="F5" s="367">
        <v>44407</v>
      </c>
      <c r="G5" s="544">
        <v>103091.44</v>
      </c>
    </row>
    <row r="6" spans="1:7" s="23" customFormat="1" ht="33.75" x14ac:dyDescent="0.25">
      <c r="A6" s="952"/>
      <c r="B6" s="382" t="s">
        <v>540</v>
      </c>
      <c r="C6" s="380" t="s">
        <v>372</v>
      </c>
      <c r="D6" s="381">
        <v>51804</v>
      </c>
      <c r="E6" s="385">
        <v>44207</v>
      </c>
      <c r="F6" s="367">
        <v>44407</v>
      </c>
      <c r="G6" s="544">
        <v>1636411.71</v>
      </c>
    </row>
    <row r="7" spans="1:7" s="23" customFormat="1" ht="33.75" x14ac:dyDescent="0.25">
      <c r="A7" s="952"/>
      <c r="B7" s="382" t="s">
        <v>245</v>
      </c>
      <c r="C7" s="545" t="s">
        <v>467</v>
      </c>
      <c r="D7" s="381">
        <v>67701</v>
      </c>
      <c r="E7" s="385">
        <v>44809</v>
      </c>
      <c r="F7" s="367">
        <v>44914</v>
      </c>
      <c r="G7" s="546">
        <v>599317.88</v>
      </c>
    </row>
    <row r="8" spans="1:7" s="23" customFormat="1" ht="45" x14ac:dyDescent="0.25">
      <c r="A8" s="952"/>
      <c r="B8" s="382" t="s">
        <v>275</v>
      </c>
      <c r="C8" s="380" t="s">
        <v>552</v>
      </c>
      <c r="D8" s="381">
        <v>72452</v>
      </c>
      <c r="E8" s="385">
        <v>45054</v>
      </c>
      <c r="F8" s="385">
        <v>45206</v>
      </c>
      <c r="G8" s="544">
        <v>744079.99</v>
      </c>
    </row>
    <row r="9" spans="1:7" s="23" customFormat="1" x14ac:dyDescent="0.25">
      <c r="A9" s="952" t="s">
        <v>237</v>
      </c>
      <c r="B9" s="382" t="s">
        <v>238</v>
      </c>
      <c r="C9" s="380" t="s">
        <v>239</v>
      </c>
      <c r="D9" s="381">
        <v>19241</v>
      </c>
      <c r="E9" s="385">
        <v>43395</v>
      </c>
      <c r="F9" s="367">
        <v>43444</v>
      </c>
      <c r="G9" s="544">
        <v>389069.74000000005</v>
      </c>
    </row>
    <row r="10" spans="1:7" s="23" customFormat="1" ht="33.75" x14ac:dyDescent="0.25">
      <c r="A10" s="952"/>
      <c r="B10" s="382" t="s">
        <v>484</v>
      </c>
      <c r="C10" s="380" t="s">
        <v>240</v>
      </c>
      <c r="D10" s="381">
        <v>25782</v>
      </c>
      <c r="E10" s="385">
        <v>43584</v>
      </c>
      <c r="F10" s="367">
        <v>43614</v>
      </c>
      <c r="G10" s="544">
        <v>194408.02</v>
      </c>
    </row>
    <row r="11" spans="1:7" s="23" customFormat="1" ht="22.5" x14ac:dyDescent="0.25">
      <c r="A11" s="952"/>
      <c r="B11" s="382" t="s">
        <v>242</v>
      </c>
      <c r="C11" s="380" t="s">
        <v>563</v>
      </c>
      <c r="D11" s="381">
        <v>36943</v>
      </c>
      <c r="E11" s="385">
        <v>43770</v>
      </c>
      <c r="F11" s="367">
        <v>43843</v>
      </c>
      <c r="G11" s="544">
        <v>280000</v>
      </c>
    </row>
    <row r="12" spans="1:7" s="23" customFormat="1" ht="22.5" x14ac:dyDescent="0.25">
      <c r="A12" s="952"/>
      <c r="B12" s="382" t="s">
        <v>540</v>
      </c>
      <c r="C12" s="380" t="s">
        <v>426</v>
      </c>
      <c r="D12" s="381">
        <v>37121</v>
      </c>
      <c r="E12" s="385">
        <v>43770</v>
      </c>
      <c r="F12" s="367">
        <v>43843</v>
      </c>
      <c r="G12" s="544">
        <v>111377.68</v>
      </c>
    </row>
    <row r="13" spans="1:7" s="23" customFormat="1" x14ac:dyDescent="0.25">
      <c r="A13" s="952"/>
      <c r="B13" s="382" t="s">
        <v>484</v>
      </c>
      <c r="C13" s="380" t="s">
        <v>333</v>
      </c>
      <c r="D13" s="381">
        <v>47983</v>
      </c>
      <c r="E13" s="385">
        <v>44028</v>
      </c>
      <c r="F13" s="367">
        <v>44245</v>
      </c>
      <c r="G13" s="544">
        <v>42853.57</v>
      </c>
    </row>
    <row r="14" spans="1:7" s="23" customFormat="1" ht="33.75" x14ac:dyDescent="0.25">
      <c r="A14" s="952"/>
      <c r="B14" s="382" t="s">
        <v>484</v>
      </c>
      <c r="C14" s="380" t="s">
        <v>240</v>
      </c>
      <c r="D14" s="381">
        <v>53003</v>
      </c>
      <c r="E14" s="385">
        <v>44235</v>
      </c>
      <c r="F14" s="367">
        <v>44496</v>
      </c>
      <c r="G14" s="544">
        <v>159285</v>
      </c>
    </row>
    <row r="15" spans="1:7" s="23" customFormat="1" ht="22.5" x14ac:dyDescent="0.25">
      <c r="A15" s="952"/>
      <c r="B15" s="382" t="s">
        <v>242</v>
      </c>
      <c r="C15" s="380" t="s">
        <v>427</v>
      </c>
      <c r="D15" s="381">
        <v>60203</v>
      </c>
      <c r="E15" s="385">
        <v>44498</v>
      </c>
      <c r="F15" s="367">
        <v>44651</v>
      </c>
      <c r="G15" s="544">
        <v>315000</v>
      </c>
    </row>
    <row r="16" spans="1:7" s="23" customFormat="1" ht="22.5" x14ac:dyDescent="0.25">
      <c r="A16" s="952"/>
      <c r="B16" s="382" t="s">
        <v>540</v>
      </c>
      <c r="C16" s="380" t="s">
        <v>469</v>
      </c>
      <c r="D16" s="381">
        <v>60861</v>
      </c>
      <c r="E16" s="385">
        <v>44509</v>
      </c>
      <c r="F16" s="367">
        <v>44651</v>
      </c>
      <c r="G16" s="544">
        <v>319449.98</v>
      </c>
    </row>
    <row r="17" spans="1:7" s="23" customFormat="1" ht="33.75" x14ac:dyDescent="0.25">
      <c r="A17" s="952"/>
      <c r="B17" s="382" t="s">
        <v>151</v>
      </c>
      <c r="C17" s="380" t="s">
        <v>424</v>
      </c>
      <c r="D17" s="381">
        <v>69945</v>
      </c>
      <c r="E17" s="385">
        <v>44502</v>
      </c>
      <c r="F17" s="367">
        <v>44651</v>
      </c>
      <c r="G17" s="544">
        <v>200000</v>
      </c>
    </row>
    <row r="18" spans="1:7" s="23" customFormat="1" ht="22.5" x14ac:dyDescent="0.25">
      <c r="A18" s="952"/>
      <c r="B18" s="382" t="s">
        <v>238</v>
      </c>
      <c r="C18" s="380" t="s">
        <v>562</v>
      </c>
      <c r="D18" s="381">
        <v>74183</v>
      </c>
      <c r="E18" s="385">
        <v>45092</v>
      </c>
      <c r="F18" s="385">
        <v>45122</v>
      </c>
      <c r="G18" s="544">
        <v>697966</v>
      </c>
    </row>
    <row r="19" spans="1:7" s="23" customFormat="1" x14ac:dyDescent="0.25">
      <c r="A19" s="952"/>
      <c r="B19" s="382" t="s">
        <v>484</v>
      </c>
      <c r="C19" s="380" t="s">
        <v>333</v>
      </c>
      <c r="D19" s="381">
        <v>74223</v>
      </c>
      <c r="E19" s="385">
        <v>45092</v>
      </c>
      <c r="F19" s="385">
        <v>45122</v>
      </c>
      <c r="G19" s="544">
        <v>103182.91</v>
      </c>
    </row>
    <row r="20" spans="1:7" s="23" customFormat="1" ht="22.5" x14ac:dyDescent="0.25">
      <c r="A20" s="952"/>
      <c r="B20" s="382" t="s">
        <v>275</v>
      </c>
      <c r="C20" s="380" t="s">
        <v>428</v>
      </c>
      <c r="D20" s="381">
        <v>75641</v>
      </c>
      <c r="E20" s="385">
        <v>45176</v>
      </c>
      <c r="F20" s="385">
        <v>45229</v>
      </c>
      <c r="G20" s="544">
        <v>341238.83999999997</v>
      </c>
    </row>
    <row r="21" spans="1:7" s="23" customFormat="1" ht="22.5" x14ac:dyDescent="0.25">
      <c r="A21" s="952"/>
      <c r="B21" s="382" t="s">
        <v>540</v>
      </c>
      <c r="C21" s="380" t="s">
        <v>426</v>
      </c>
      <c r="D21" s="381">
        <v>76844</v>
      </c>
      <c r="E21" s="385">
        <v>45309.000011574077</v>
      </c>
      <c r="F21" s="385">
        <v>45350.999988425923</v>
      </c>
      <c r="G21" s="544">
        <v>948709.89</v>
      </c>
    </row>
    <row r="22" spans="1:7" s="23" customFormat="1" ht="33.75" x14ac:dyDescent="0.25">
      <c r="A22" s="952" t="s">
        <v>350</v>
      </c>
      <c r="B22" s="382" t="s">
        <v>540</v>
      </c>
      <c r="C22" s="380" t="s">
        <v>453</v>
      </c>
      <c r="D22" s="381">
        <v>36625</v>
      </c>
      <c r="E22" s="385">
        <v>43753</v>
      </c>
      <c r="F22" s="367">
        <v>43889</v>
      </c>
      <c r="G22" s="544">
        <v>525000</v>
      </c>
    </row>
    <row r="23" spans="1:7" s="23" customFormat="1" ht="22.5" x14ac:dyDescent="0.25">
      <c r="A23" s="952"/>
      <c r="B23" s="382" t="s">
        <v>540</v>
      </c>
      <c r="C23" s="380" t="s">
        <v>303</v>
      </c>
      <c r="D23" s="381">
        <v>36664</v>
      </c>
      <c r="E23" s="385">
        <v>43753</v>
      </c>
      <c r="F23" s="367">
        <v>43889</v>
      </c>
      <c r="G23" s="544">
        <v>724017</v>
      </c>
    </row>
    <row r="24" spans="1:7" s="23" customFormat="1" ht="33.75" x14ac:dyDescent="0.25">
      <c r="A24" s="952"/>
      <c r="B24" s="382" t="s">
        <v>55</v>
      </c>
      <c r="C24" s="380" t="s">
        <v>488</v>
      </c>
      <c r="D24" s="381">
        <v>54462</v>
      </c>
      <c r="E24" s="385">
        <v>44589</v>
      </c>
      <c r="F24" s="367">
        <v>44925</v>
      </c>
      <c r="G24" s="544">
        <v>100000</v>
      </c>
    </row>
    <row r="25" spans="1:7" s="23" customFormat="1" ht="45" x14ac:dyDescent="0.25">
      <c r="A25" s="952"/>
      <c r="B25" s="382" t="s">
        <v>55</v>
      </c>
      <c r="C25" s="380" t="s">
        <v>485</v>
      </c>
      <c r="D25" s="381">
        <v>60447</v>
      </c>
      <c r="E25" s="385">
        <v>44589</v>
      </c>
      <c r="F25" s="367">
        <v>44926</v>
      </c>
      <c r="G25" s="544">
        <v>360000</v>
      </c>
    </row>
    <row r="26" spans="1:7" s="23" customFormat="1" ht="33.75" x14ac:dyDescent="0.25">
      <c r="A26" s="952"/>
      <c r="B26" s="382" t="s">
        <v>365</v>
      </c>
      <c r="C26" s="545" t="s">
        <v>523</v>
      </c>
      <c r="D26" s="381">
        <v>67426</v>
      </c>
      <c r="E26" s="385">
        <v>44782</v>
      </c>
      <c r="F26" s="367">
        <v>44865</v>
      </c>
      <c r="G26" s="546">
        <v>280600.58</v>
      </c>
    </row>
    <row r="27" spans="1:7" s="23" customFormat="1" ht="33.75" x14ac:dyDescent="0.25">
      <c r="A27" s="952"/>
      <c r="B27" s="382" t="s">
        <v>540</v>
      </c>
      <c r="C27" s="380" t="s">
        <v>453</v>
      </c>
      <c r="D27" s="381">
        <v>77142</v>
      </c>
      <c r="E27" s="385">
        <v>45309.000011574077</v>
      </c>
      <c r="F27" s="385">
        <v>45376</v>
      </c>
      <c r="G27" s="544">
        <v>210000</v>
      </c>
    </row>
    <row r="28" spans="1:7" s="23" customFormat="1" ht="22.5" x14ac:dyDescent="0.25">
      <c r="A28" s="952"/>
      <c r="B28" s="382" t="s">
        <v>242</v>
      </c>
      <c r="C28" s="380" t="s">
        <v>458</v>
      </c>
      <c r="D28" s="381">
        <v>80328</v>
      </c>
      <c r="E28" s="385">
        <v>45422</v>
      </c>
      <c r="F28" s="385">
        <v>45460</v>
      </c>
      <c r="G28" s="544">
        <v>300000</v>
      </c>
    </row>
    <row r="29" spans="1:7" s="23" customFormat="1" ht="33.75" x14ac:dyDescent="0.25">
      <c r="A29" s="952" t="s">
        <v>316</v>
      </c>
      <c r="B29" s="382" t="s">
        <v>63</v>
      </c>
      <c r="C29" s="380" t="s">
        <v>317</v>
      </c>
      <c r="D29" s="381">
        <v>47743</v>
      </c>
      <c r="E29" s="385">
        <v>44022</v>
      </c>
      <c r="F29" s="367">
        <v>44516</v>
      </c>
      <c r="G29" s="547">
        <v>468525.28</v>
      </c>
    </row>
    <row r="30" spans="1:7" s="23" customFormat="1" ht="45" x14ac:dyDescent="0.25">
      <c r="A30" s="952"/>
      <c r="B30" s="382" t="s">
        <v>540</v>
      </c>
      <c r="C30" s="380" t="s">
        <v>319</v>
      </c>
      <c r="D30" s="381">
        <v>48721</v>
      </c>
      <c r="E30" s="385">
        <v>44043</v>
      </c>
      <c r="F30" s="367">
        <v>44635</v>
      </c>
      <c r="G30" s="544">
        <v>148982.41</v>
      </c>
    </row>
    <row r="31" spans="1:7" s="23" customFormat="1" ht="56.25" x14ac:dyDescent="0.25">
      <c r="A31" s="952"/>
      <c r="B31" s="382" t="s">
        <v>541</v>
      </c>
      <c r="C31" s="380" t="s">
        <v>330</v>
      </c>
      <c r="D31" s="381">
        <v>48802</v>
      </c>
      <c r="E31" s="385">
        <v>44043</v>
      </c>
      <c r="F31" s="367">
        <v>44635</v>
      </c>
      <c r="G31" s="544">
        <v>59856.800000000003</v>
      </c>
    </row>
    <row r="32" spans="1:7" s="23" customFormat="1" ht="22.5" x14ac:dyDescent="0.25">
      <c r="A32" s="952"/>
      <c r="B32" s="382" t="s">
        <v>242</v>
      </c>
      <c r="C32" s="380" t="s">
        <v>331</v>
      </c>
      <c r="D32" s="381">
        <v>50084</v>
      </c>
      <c r="E32" s="385">
        <v>44099</v>
      </c>
      <c r="F32" s="367">
        <v>44635</v>
      </c>
      <c r="G32" s="547">
        <v>0</v>
      </c>
    </row>
    <row r="33" spans="1:7" s="23" customFormat="1" ht="33.75" x14ac:dyDescent="0.25">
      <c r="A33" s="952"/>
      <c r="B33" s="382" t="s">
        <v>540</v>
      </c>
      <c r="C33" s="380" t="s">
        <v>332</v>
      </c>
      <c r="D33" s="381">
        <v>50101</v>
      </c>
      <c r="E33" s="385">
        <v>44099</v>
      </c>
      <c r="F33" s="367">
        <v>44454</v>
      </c>
      <c r="G33" s="547">
        <v>142360.48000000001</v>
      </c>
    </row>
    <row r="34" spans="1:7" s="23" customFormat="1" ht="22.5" x14ac:dyDescent="0.25">
      <c r="A34" s="952"/>
      <c r="B34" s="382" t="s">
        <v>236</v>
      </c>
      <c r="C34" s="380" t="s">
        <v>454</v>
      </c>
      <c r="D34" s="381">
        <v>50564</v>
      </c>
      <c r="E34" s="385">
        <v>44120</v>
      </c>
      <c r="F34" s="367">
        <v>44454</v>
      </c>
      <c r="G34" s="547">
        <v>329770</v>
      </c>
    </row>
    <row r="35" spans="1:7" s="23" customFormat="1" ht="33.75" x14ac:dyDescent="0.25">
      <c r="A35" s="952"/>
      <c r="B35" s="382" t="s">
        <v>275</v>
      </c>
      <c r="C35" s="380" t="s">
        <v>364</v>
      </c>
      <c r="D35" s="381">
        <v>50566</v>
      </c>
      <c r="E35" s="385">
        <v>44120</v>
      </c>
      <c r="F35" s="367">
        <v>44454</v>
      </c>
      <c r="G35" s="547">
        <v>84505</v>
      </c>
    </row>
    <row r="36" spans="1:7" s="23" customFormat="1" ht="22.5" x14ac:dyDescent="0.25">
      <c r="A36" s="952"/>
      <c r="B36" s="382" t="s">
        <v>236</v>
      </c>
      <c r="C36" s="380" t="s">
        <v>422</v>
      </c>
      <c r="D36" s="381">
        <v>52061</v>
      </c>
      <c r="E36" s="385">
        <v>44196</v>
      </c>
      <c r="F36" s="367">
        <v>44635</v>
      </c>
      <c r="G36" s="544">
        <v>133710</v>
      </c>
    </row>
    <row r="37" spans="1:7" s="23" customFormat="1" ht="33.75" x14ac:dyDescent="0.25">
      <c r="A37" s="952"/>
      <c r="B37" s="382" t="s">
        <v>55</v>
      </c>
      <c r="C37" s="380" t="s">
        <v>387</v>
      </c>
      <c r="D37" s="381">
        <v>52042</v>
      </c>
      <c r="E37" s="385">
        <v>44196</v>
      </c>
      <c r="F37" s="367">
        <v>44651</v>
      </c>
      <c r="G37" s="547">
        <v>99812</v>
      </c>
    </row>
    <row r="38" spans="1:7" s="23" customFormat="1" ht="56.25" x14ac:dyDescent="0.25">
      <c r="A38" s="952"/>
      <c r="B38" s="382" t="s">
        <v>151</v>
      </c>
      <c r="C38" s="383" t="s">
        <v>494</v>
      </c>
      <c r="D38" s="381">
        <v>64627</v>
      </c>
      <c r="E38" s="385">
        <v>44522</v>
      </c>
      <c r="F38" s="367">
        <v>44697</v>
      </c>
      <c r="G38" s="547">
        <v>91822.720000000001</v>
      </c>
    </row>
    <row r="39" spans="1:7" s="23" customFormat="1" ht="33.75" x14ac:dyDescent="0.25">
      <c r="A39" s="952"/>
      <c r="B39" s="382" t="s">
        <v>55</v>
      </c>
      <c r="C39" s="380" t="s">
        <v>387</v>
      </c>
      <c r="D39" s="381">
        <v>72464</v>
      </c>
      <c r="E39" s="385">
        <v>45037</v>
      </c>
      <c r="F39" s="367">
        <v>45191</v>
      </c>
      <c r="G39" s="548">
        <v>100000</v>
      </c>
    </row>
    <row r="40" spans="1:7" s="23" customFormat="1" ht="56.25" x14ac:dyDescent="0.25">
      <c r="A40" s="952"/>
      <c r="B40" s="382" t="s">
        <v>245</v>
      </c>
      <c r="C40" s="383" t="s">
        <v>576</v>
      </c>
      <c r="D40" s="381">
        <v>74842</v>
      </c>
      <c r="E40" s="385">
        <v>45138</v>
      </c>
      <c r="F40" s="367">
        <v>45369</v>
      </c>
      <c r="G40" s="544">
        <v>937023.58</v>
      </c>
    </row>
    <row r="41" spans="1:7" s="23" customFormat="1" ht="33.75" x14ac:dyDescent="0.25">
      <c r="A41" s="952"/>
      <c r="B41" s="382" t="s">
        <v>597</v>
      </c>
      <c r="C41" s="380" t="s">
        <v>598</v>
      </c>
      <c r="D41" s="381">
        <v>76761</v>
      </c>
      <c r="E41" s="385">
        <v>45246</v>
      </c>
      <c r="F41" s="367">
        <v>45677</v>
      </c>
      <c r="G41" s="548">
        <v>1054710.6399999999</v>
      </c>
    </row>
    <row r="42" spans="1:7" s="23" customFormat="1" x14ac:dyDescent="0.25">
      <c r="A42" s="952" t="s">
        <v>353</v>
      </c>
      <c r="B42" s="397" t="s">
        <v>540</v>
      </c>
      <c r="C42" s="380" t="s">
        <v>357</v>
      </c>
      <c r="D42" s="381">
        <v>50121</v>
      </c>
      <c r="E42" s="385">
        <v>44150</v>
      </c>
      <c r="F42" s="367">
        <v>44218</v>
      </c>
      <c r="G42" s="547">
        <v>20000</v>
      </c>
    </row>
    <row r="43" spans="1:7" s="23" customFormat="1" ht="22.5" x14ac:dyDescent="0.25">
      <c r="A43" s="952"/>
      <c r="B43" s="397" t="s">
        <v>540</v>
      </c>
      <c r="C43" s="380" t="s">
        <v>358</v>
      </c>
      <c r="D43" s="381">
        <v>50122</v>
      </c>
      <c r="E43" s="385">
        <v>44150</v>
      </c>
      <c r="F43" s="367">
        <v>44218</v>
      </c>
      <c r="G43" s="547">
        <v>0</v>
      </c>
    </row>
    <row r="44" spans="1:7" s="23" customFormat="1" ht="33.75" x14ac:dyDescent="0.25">
      <c r="A44" s="952"/>
      <c r="B44" s="397" t="s">
        <v>540</v>
      </c>
      <c r="C44" s="380" t="s">
        <v>359</v>
      </c>
      <c r="D44" s="381">
        <v>50062</v>
      </c>
      <c r="E44" s="385">
        <v>44150</v>
      </c>
      <c r="F44" s="367">
        <v>44218</v>
      </c>
      <c r="G44" s="547">
        <v>0</v>
      </c>
    </row>
    <row r="45" spans="1:7" s="23" customFormat="1" ht="22.5" x14ac:dyDescent="0.25">
      <c r="A45" s="952"/>
      <c r="B45" s="397" t="s">
        <v>540</v>
      </c>
      <c r="C45" s="380" t="s">
        <v>360</v>
      </c>
      <c r="D45" s="381">
        <v>50063</v>
      </c>
      <c r="E45" s="385">
        <v>44150</v>
      </c>
      <c r="F45" s="367">
        <v>44218</v>
      </c>
      <c r="G45" s="547">
        <v>0</v>
      </c>
    </row>
    <row r="46" spans="1:7" s="23" customFormat="1" x14ac:dyDescent="0.25">
      <c r="A46" s="952"/>
      <c r="B46" s="382" t="s">
        <v>242</v>
      </c>
      <c r="C46" s="380" t="s">
        <v>361</v>
      </c>
      <c r="D46" s="381">
        <v>50061</v>
      </c>
      <c r="E46" s="385">
        <v>44142</v>
      </c>
      <c r="F46" s="367">
        <v>44255</v>
      </c>
      <c r="G46" s="547">
        <f>186000-62000</f>
        <v>124000</v>
      </c>
    </row>
    <row r="47" spans="1:7" s="23" customFormat="1" ht="22.5" x14ac:dyDescent="0.25">
      <c r="A47" s="952"/>
      <c r="B47" s="382" t="s">
        <v>242</v>
      </c>
      <c r="C47" s="380" t="s">
        <v>362</v>
      </c>
      <c r="D47" s="381">
        <v>50083</v>
      </c>
      <c r="E47" s="385">
        <v>44137</v>
      </c>
      <c r="F47" s="367">
        <v>44218</v>
      </c>
      <c r="G47" s="547">
        <v>168000</v>
      </c>
    </row>
    <row r="48" spans="1:7" s="23" customFormat="1" ht="33.75" x14ac:dyDescent="0.25">
      <c r="A48" s="952"/>
      <c r="B48" s="382" t="s">
        <v>365</v>
      </c>
      <c r="C48" s="380" t="s">
        <v>366</v>
      </c>
      <c r="D48" s="381">
        <v>52025</v>
      </c>
      <c r="E48" s="367">
        <v>44175</v>
      </c>
      <c r="F48" s="367">
        <v>44227</v>
      </c>
      <c r="G48" s="547">
        <v>0</v>
      </c>
    </row>
    <row r="49" spans="1:7" s="23" customFormat="1" ht="33.75" x14ac:dyDescent="0.25">
      <c r="A49" s="952"/>
      <c r="B49" s="382" t="s">
        <v>275</v>
      </c>
      <c r="C49" s="380" t="s">
        <v>376</v>
      </c>
      <c r="D49" s="381">
        <v>52062</v>
      </c>
      <c r="E49" s="367">
        <v>44175</v>
      </c>
      <c r="F49" s="367">
        <v>44206</v>
      </c>
      <c r="G49" s="547">
        <v>0</v>
      </c>
    </row>
    <row r="50" spans="1:7" s="23" customFormat="1" x14ac:dyDescent="0.25">
      <c r="A50" s="952"/>
      <c r="B50" s="382" t="s">
        <v>55</v>
      </c>
      <c r="C50" s="380" t="s">
        <v>367</v>
      </c>
      <c r="D50" s="381">
        <v>52022</v>
      </c>
      <c r="E50" s="367">
        <v>44175</v>
      </c>
      <c r="F50" s="367">
        <v>44206</v>
      </c>
      <c r="G50" s="549">
        <v>288000</v>
      </c>
    </row>
    <row r="51" spans="1:7" s="23" customFormat="1" ht="22.5" x14ac:dyDescent="0.25">
      <c r="A51" s="952"/>
      <c r="B51" s="382" t="s">
        <v>151</v>
      </c>
      <c r="C51" s="380" t="s">
        <v>378</v>
      </c>
      <c r="D51" s="381">
        <v>52101</v>
      </c>
      <c r="E51" s="367">
        <v>44175</v>
      </c>
      <c r="F51" s="367">
        <v>44227</v>
      </c>
      <c r="G51" s="547">
        <v>141903.46</v>
      </c>
    </row>
    <row r="52" spans="1:7" s="23" customFormat="1" ht="33.75" x14ac:dyDescent="0.25">
      <c r="A52" s="952"/>
      <c r="B52" s="382" t="s">
        <v>151</v>
      </c>
      <c r="C52" s="380" t="s">
        <v>379</v>
      </c>
      <c r="D52" s="381">
        <v>52081</v>
      </c>
      <c r="E52" s="367">
        <v>44175</v>
      </c>
      <c r="F52" s="367">
        <v>44227</v>
      </c>
      <c r="G52" s="547">
        <v>144000</v>
      </c>
    </row>
    <row r="53" spans="1:7" s="23" customFormat="1" ht="33.75" x14ac:dyDescent="0.25">
      <c r="A53" s="952"/>
      <c r="B53" s="382" t="s">
        <v>151</v>
      </c>
      <c r="C53" s="380" t="s">
        <v>380</v>
      </c>
      <c r="D53" s="381">
        <v>52004</v>
      </c>
      <c r="E53" s="367">
        <v>44175</v>
      </c>
      <c r="F53" s="367">
        <v>44227</v>
      </c>
      <c r="G53" s="547">
        <v>108000</v>
      </c>
    </row>
    <row r="54" spans="1:7" s="23" customFormat="1" x14ac:dyDescent="0.25">
      <c r="A54" s="952"/>
      <c r="B54" s="382" t="s">
        <v>245</v>
      </c>
      <c r="C54" s="380" t="s">
        <v>468</v>
      </c>
      <c r="D54" s="381">
        <v>65341</v>
      </c>
      <c r="E54" s="367">
        <v>44504</v>
      </c>
      <c r="F54" s="367">
        <v>44592</v>
      </c>
      <c r="G54" s="549">
        <v>342942.14</v>
      </c>
    </row>
    <row r="55" spans="1:7" s="23" customFormat="1" ht="33.75" x14ac:dyDescent="0.25">
      <c r="A55" s="952"/>
      <c r="B55" s="382" t="s">
        <v>365</v>
      </c>
      <c r="C55" s="380" t="s">
        <v>366</v>
      </c>
      <c r="D55" s="381">
        <v>65681</v>
      </c>
      <c r="E55" s="385">
        <v>44546</v>
      </c>
      <c r="F55" s="367">
        <v>44732</v>
      </c>
      <c r="G55" s="547">
        <v>67873.960000000006</v>
      </c>
    </row>
    <row r="56" spans="1:7" s="23" customFormat="1" ht="22.5" x14ac:dyDescent="0.25">
      <c r="A56" s="952"/>
      <c r="B56" s="382" t="s">
        <v>245</v>
      </c>
      <c r="C56" s="380" t="s">
        <v>547</v>
      </c>
      <c r="D56" s="381">
        <v>70321</v>
      </c>
      <c r="E56" s="385">
        <v>44945</v>
      </c>
      <c r="F56" s="385">
        <v>45107</v>
      </c>
      <c r="G56" s="547">
        <v>544545.09</v>
      </c>
    </row>
    <row r="57" spans="1:7" s="23" customFormat="1" x14ac:dyDescent="0.25">
      <c r="A57" s="952"/>
      <c r="B57" s="382" t="s">
        <v>242</v>
      </c>
      <c r="C57" s="380" t="s">
        <v>551</v>
      </c>
      <c r="D57" s="381">
        <v>73022</v>
      </c>
      <c r="E57" s="385">
        <v>45050</v>
      </c>
      <c r="F57" s="385">
        <v>45124</v>
      </c>
      <c r="G57" s="547">
        <v>200000</v>
      </c>
    </row>
    <row r="58" spans="1:7" s="23" customFormat="1" ht="22.5" x14ac:dyDescent="0.25">
      <c r="A58" s="952"/>
      <c r="B58" s="382" t="s">
        <v>242</v>
      </c>
      <c r="C58" s="380" t="s">
        <v>553</v>
      </c>
      <c r="D58" s="381">
        <v>73061</v>
      </c>
      <c r="E58" s="385">
        <v>45050</v>
      </c>
      <c r="F58" s="385">
        <v>45124</v>
      </c>
      <c r="G58" s="547">
        <v>200000</v>
      </c>
    </row>
    <row r="59" spans="1:7" s="23" customFormat="1" x14ac:dyDescent="0.25">
      <c r="A59" s="952"/>
      <c r="B59" s="382" t="s">
        <v>242</v>
      </c>
      <c r="C59" s="380" t="s">
        <v>361</v>
      </c>
      <c r="D59" s="381">
        <v>73041</v>
      </c>
      <c r="E59" s="385">
        <v>45050</v>
      </c>
      <c r="F59" s="385">
        <v>45124</v>
      </c>
      <c r="G59" s="547">
        <v>312000</v>
      </c>
    </row>
    <row r="60" spans="1:7" s="23" customFormat="1" ht="22.5" x14ac:dyDescent="0.25">
      <c r="A60" s="952"/>
      <c r="B60" s="397" t="s">
        <v>540</v>
      </c>
      <c r="C60" s="380" t="s">
        <v>573</v>
      </c>
      <c r="D60" s="381">
        <v>75541</v>
      </c>
      <c r="E60" s="385">
        <v>45162</v>
      </c>
      <c r="F60" s="385">
        <v>45260</v>
      </c>
      <c r="G60" s="547">
        <v>309169.91999999998</v>
      </c>
    </row>
    <row r="61" spans="1:7" s="23" customFormat="1" ht="45" x14ac:dyDescent="0.25">
      <c r="A61" s="952"/>
      <c r="B61" s="382" t="s">
        <v>541</v>
      </c>
      <c r="C61" s="380" t="s">
        <v>574</v>
      </c>
      <c r="D61" s="381">
        <v>75542</v>
      </c>
      <c r="E61" s="385">
        <v>45162</v>
      </c>
      <c r="F61" s="385">
        <v>45260</v>
      </c>
      <c r="G61" s="547">
        <v>49493.120000000003</v>
      </c>
    </row>
    <row r="62" spans="1:7" s="23" customFormat="1" ht="22.5" x14ac:dyDescent="0.25">
      <c r="A62" s="952"/>
      <c r="B62" s="397" t="s">
        <v>540</v>
      </c>
      <c r="C62" s="380" t="s">
        <v>590</v>
      </c>
      <c r="D62" s="381">
        <v>76342</v>
      </c>
      <c r="E62" s="385">
        <v>45211</v>
      </c>
      <c r="F62" s="385">
        <v>45290</v>
      </c>
      <c r="G62" s="547">
        <v>496278.95</v>
      </c>
    </row>
    <row r="63" spans="1:7" s="23" customFormat="1" ht="22.5" x14ac:dyDescent="0.25">
      <c r="A63" s="952"/>
      <c r="B63" s="382" t="s">
        <v>275</v>
      </c>
      <c r="C63" s="380" t="s">
        <v>635</v>
      </c>
      <c r="D63" s="381">
        <v>79222</v>
      </c>
      <c r="E63" s="385">
        <v>45372</v>
      </c>
      <c r="F63" s="385">
        <v>45412</v>
      </c>
      <c r="G63" s="549">
        <v>206479.03</v>
      </c>
    </row>
    <row r="64" spans="1:7" s="23" customFormat="1" ht="22.5" x14ac:dyDescent="0.25">
      <c r="A64" s="952"/>
      <c r="B64" s="382" t="s">
        <v>236</v>
      </c>
      <c r="C64" s="380" t="s">
        <v>634</v>
      </c>
      <c r="D64" s="381">
        <v>79842</v>
      </c>
      <c r="E64" s="385">
        <v>45400</v>
      </c>
      <c r="F64" s="385">
        <v>45472</v>
      </c>
      <c r="G64" s="549">
        <v>466408.09</v>
      </c>
    </row>
    <row r="65" spans="1:7" s="23" customFormat="1" ht="33.75" x14ac:dyDescent="0.25">
      <c r="A65" s="953" t="s">
        <v>351</v>
      </c>
      <c r="B65" s="382" t="s">
        <v>540</v>
      </c>
      <c r="C65" s="380" t="s">
        <v>455</v>
      </c>
      <c r="D65" s="381">
        <v>40581</v>
      </c>
      <c r="E65" s="385">
        <v>43965</v>
      </c>
      <c r="F65" s="367">
        <v>44043</v>
      </c>
      <c r="G65" s="544">
        <v>300000</v>
      </c>
    </row>
    <row r="66" spans="1:7" s="23" customFormat="1" ht="33.75" x14ac:dyDescent="0.25">
      <c r="A66" s="953"/>
      <c r="B66" s="382" t="s">
        <v>540</v>
      </c>
      <c r="C66" s="380" t="s">
        <v>291</v>
      </c>
      <c r="D66" s="381">
        <v>40921</v>
      </c>
      <c r="E66" s="385">
        <v>43965</v>
      </c>
      <c r="F66" s="367">
        <v>44043</v>
      </c>
      <c r="G66" s="544">
        <v>400000</v>
      </c>
    </row>
    <row r="67" spans="1:7" s="23" customFormat="1" ht="45" x14ac:dyDescent="0.25">
      <c r="A67" s="953"/>
      <c r="B67" s="382" t="s">
        <v>540</v>
      </c>
      <c r="C67" s="380" t="s">
        <v>292</v>
      </c>
      <c r="D67" s="381">
        <v>41682</v>
      </c>
      <c r="E67" s="385">
        <v>43965</v>
      </c>
      <c r="F67" s="367">
        <v>44043</v>
      </c>
      <c r="G67" s="544">
        <v>250000</v>
      </c>
    </row>
    <row r="68" spans="1:7" s="23" customFormat="1" ht="45" x14ac:dyDescent="0.25">
      <c r="A68" s="953"/>
      <c r="B68" s="382" t="s">
        <v>540</v>
      </c>
      <c r="C68" s="380" t="s">
        <v>293</v>
      </c>
      <c r="D68" s="381">
        <v>41741</v>
      </c>
      <c r="E68" s="385">
        <v>43965</v>
      </c>
      <c r="F68" s="367">
        <v>44043</v>
      </c>
      <c r="G68" s="544">
        <v>250000</v>
      </c>
    </row>
    <row r="69" spans="1:7" s="23" customFormat="1" ht="78.75" x14ac:dyDescent="0.25">
      <c r="A69" s="953"/>
      <c r="B69" s="382" t="s">
        <v>541</v>
      </c>
      <c r="C69" s="380" t="s">
        <v>456</v>
      </c>
      <c r="D69" s="381">
        <v>41743</v>
      </c>
      <c r="E69" s="385">
        <v>43965</v>
      </c>
      <c r="F69" s="367">
        <v>44043</v>
      </c>
      <c r="G69" s="544">
        <v>300000</v>
      </c>
    </row>
    <row r="70" spans="1:7" s="23" customFormat="1" ht="22.5" x14ac:dyDescent="0.25">
      <c r="A70" s="953"/>
      <c r="B70" s="382" t="s">
        <v>242</v>
      </c>
      <c r="C70" s="380" t="s">
        <v>294</v>
      </c>
      <c r="D70" s="381">
        <v>45502</v>
      </c>
      <c r="E70" s="385">
        <v>43965</v>
      </c>
      <c r="F70" s="367">
        <v>44104</v>
      </c>
      <c r="G70" s="544">
        <v>300000</v>
      </c>
    </row>
    <row r="71" spans="1:7" s="23" customFormat="1" ht="33.75" x14ac:dyDescent="0.25">
      <c r="A71" s="953"/>
      <c r="B71" s="382" t="s">
        <v>242</v>
      </c>
      <c r="C71" s="380" t="s">
        <v>295</v>
      </c>
      <c r="D71" s="381">
        <v>45621</v>
      </c>
      <c r="E71" s="385">
        <v>43965</v>
      </c>
      <c r="F71" s="367">
        <v>44104</v>
      </c>
      <c r="G71" s="544">
        <v>250000</v>
      </c>
    </row>
    <row r="72" spans="1:7" s="23" customFormat="1" ht="123.75" x14ac:dyDescent="0.25">
      <c r="A72" s="953"/>
      <c r="B72" s="382" t="s">
        <v>238</v>
      </c>
      <c r="C72" s="383" t="s">
        <v>475</v>
      </c>
      <c r="D72" s="381">
        <v>63902</v>
      </c>
      <c r="E72" s="385">
        <v>44504</v>
      </c>
      <c r="F72" s="367">
        <v>45000</v>
      </c>
      <c r="G72" s="544">
        <v>800000</v>
      </c>
    </row>
    <row r="73" spans="1:7" s="23" customFormat="1" ht="56.25" x14ac:dyDescent="0.25">
      <c r="A73" s="953"/>
      <c r="B73" s="382" t="s">
        <v>273</v>
      </c>
      <c r="C73" s="380" t="s">
        <v>476</v>
      </c>
      <c r="D73" s="381">
        <v>63861</v>
      </c>
      <c r="E73" s="385">
        <v>44504</v>
      </c>
      <c r="F73" s="367">
        <v>45000</v>
      </c>
      <c r="G73" s="544">
        <v>150000</v>
      </c>
    </row>
    <row r="74" spans="1:7" s="23" customFormat="1" ht="78.75" x14ac:dyDescent="0.25">
      <c r="A74" s="953"/>
      <c r="B74" s="382" t="s">
        <v>245</v>
      </c>
      <c r="C74" s="383" t="s">
        <v>477</v>
      </c>
      <c r="D74" s="381">
        <v>63882</v>
      </c>
      <c r="E74" s="385">
        <v>44504</v>
      </c>
      <c r="F74" s="367">
        <v>45000</v>
      </c>
      <c r="G74" s="544">
        <v>600000</v>
      </c>
    </row>
    <row r="75" spans="1:7" s="23" customFormat="1" ht="90" x14ac:dyDescent="0.25">
      <c r="A75" s="953"/>
      <c r="B75" s="382" t="s">
        <v>245</v>
      </c>
      <c r="C75" s="383" t="s">
        <v>478</v>
      </c>
      <c r="D75" s="381">
        <v>63901</v>
      </c>
      <c r="E75" s="385">
        <v>44504</v>
      </c>
      <c r="F75" s="367">
        <v>45000</v>
      </c>
      <c r="G75" s="544">
        <v>800000</v>
      </c>
    </row>
    <row r="76" spans="1:7" s="23" customFormat="1" ht="33.75" x14ac:dyDescent="0.25">
      <c r="A76" s="953"/>
      <c r="B76" s="382" t="s">
        <v>242</v>
      </c>
      <c r="C76" s="380" t="s">
        <v>565</v>
      </c>
      <c r="D76" s="381">
        <v>74245</v>
      </c>
      <c r="E76" s="367">
        <v>45106</v>
      </c>
      <c r="F76" s="367">
        <v>45327</v>
      </c>
      <c r="G76" s="544">
        <v>326000</v>
      </c>
    </row>
    <row r="77" spans="1:7" s="23" customFormat="1" ht="33.75" x14ac:dyDescent="0.25">
      <c r="A77" s="953"/>
      <c r="B77" s="382" t="s">
        <v>540</v>
      </c>
      <c r="C77" s="380" t="s">
        <v>594</v>
      </c>
      <c r="D77" s="381">
        <v>74381</v>
      </c>
      <c r="E77" s="367">
        <v>45113</v>
      </c>
      <c r="F77" s="367">
        <v>45199.542349537034</v>
      </c>
      <c r="G77" s="544">
        <v>78000</v>
      </c>
    </row>
    <row r="78" spans="1:7" s="23" customFormat="1" ht="33.75" x14ac:dyDescent="0.25">
      <c r="A78" s="953"/>
      <c r="B78" s="382" t="s">
        <v>540</v>
      </c>
      <c r="C78" s="380" t="s">
        <v>593</v>
      </c>
      <c r="D78" s="381">
        <v>74321</v>
      </c>
      <c r="E78" s="367">
        <v>45113</v>
      </c>
      <c r="F78" s="367">
        <v>45199.542349537034</v>
      </c>
      <c r="G78" s="544">
        <v>270574.62</v>
      </c>
    </row>
    <row r="79" spans="1:7" s="23" customFormat="1" ht="45" x14ac:dyDescent="0.25">
      <c r="A79" s="953"/>
      <c r="B79" s="382" t="s">
        <v>540</v>
      </c>
      <c r="C79" s="383" t="s">
        <v>592</v>
      </c>
      <c r="D79" s="381">
        <v>74345</v>
      </c>
      <c r="E79" s="367">
        <v>45113.333344907405</v>
      </c>
      <c r="F79" s="367">
        <v>45199.542349537034</v>
      </c>
      <c r="G79" s="544">
        <v>326500</v>
      </c>
    </row>
    <row r="80" spans="1:7" s="23" customFormat="1" ht="45" x14ac:dyDescent="0.25">
      <c r="A80" s="953"/>
      <c r="B80" s="382" t="s">
        <v>540</v>
      </c>
      <c r="C80" s="383" t="s">
        <v>591</v>
      </c>
      <c r="D80" s="381">
        <v>74461</v>
      </c>
      <c r="E80" s="367">
        <v>45113.333344907405</v>
      </c>
      <c r="F80" s="367">
        <v>45199.542349537034</v>
      </c>
      <c r="G80" s="544">
        <v>255580</v>
      </c>
    </row>
    <row r="81" spans="1:7" s="23" customFormat="1" ht="33.75" x14ac:dyDescent="0.25">
      <c r="A81" s="953"/>
      <c r="B81" s="382" t="s">
        <v>242</v>
      </c>
      <c r="C81" s="383" t="s">
        <v>295</v>
      </c>
      <c r="D81" s="381">
        <v>74561</v>
      </c>
      <c r="E81" s="367">
        <v>45106</v>
      </c>
      <c r="F81" s="367">
        <v>45327</v>
      </c>
      <c r="G81" s="544">
        <v>275000</v>
      </c>
    </row>
    <row r="82" spans="1:7" s="23" customFormat="1" ht="22.5" x14ac:dyDescent="0.25">
      <c r="A82" s="952" t="s">
        <v>352</v>
      </c>
      <c r="B82" s="382" t="s">
        <v>63</v>
      </c>
      <c r="C82" s="380" t="s">
        <v>445</v>
      </c>
      <c r="D82" s="381">
        <v>26821</v>
      </c>
      <c r="E82" s="385">
        <v>43560</v>
      </c>
      <c r="F82" s="367">
        <v>43714</v>
      </c>
      <c r="G82" s="544">
        <v>144359.57</v>
      </c>
    </row>
    <row r="83" spans="1:7" s="23" customFormat="1" ht="22.5" x14ac:dyDescent="0.25">
      <c r="A83" s="952"/>
      <c r="B83" s="382" t="s">
        <v>63</v>
      </c>
      <c r="C83" s="380" t="s">
        <v>446</v>
      </c>
      <c r="D83" s="381">
        <v>32964</v>
      </c>
      <c r="E83" s="385">
        <v>43651</v>
      </c>
      <c r="F83" s="367">
        <v>44196</v>
      </c>
      <c r="G83" s="544">
        <v>0</v>
      </c>
    </row>
    <row r="84" spans="1:7" s="23" customFormat="1" ht="33.75" x14ac:dyDescent="0.25">
      <c r="A84" s="952"/>
      <c r="B84" s="397" t="s">
        <v>540</v>
      </c>
      <c r="C84" s="380" t="s">
        <v>447</v>
      </c>
      <c r="D84" s="381">
        <v>34786</v>
      </c>
      <c r="E84" s="385">
        <v>43735</v>
      </c>
      <c r="F84" s="367">
        <v>44242</v>
      </c>
      <c r="G84" s="544">
        <v>46162.5</v>
      </c>
    </row>
    <row r="85" spans="1:7" s="23" customFormat="1" ht="22.5" x14ac:dyDescent="0.25">
      <c r="A85" s="952"/>
      <c r="B85" s="382" t="s">
        <v>541</v>
      </c>
      <c r="C85" s="380" t="s">
        <v>448</v>
      </c>
      <c r="D85" s="381">
        <v>36442</v>
      </c>
      <c r="E85" s="385">
        <v>43756</v>
      </c>
      <c r="F85" s="367">
        <v>43875</v>
      </c>
      <c r="G85" s="544">
        <v>279800.80000000005</v>
      </c>
    </row>
    <row r="86" spans="1:7" s="23" customFormat="1" ht="22.5" x14ac:dyDescent="0.25">
      <c r="A86" s="952"/>
      <c r="B86" s="382" t="s">
        <v>541</v>
      </c>
      <c r="C86" s="380" t="s">
        <v>449</v>
      </c>
      <c r="D86" s="381">
        <v>36443</v>
      </c>
      <c r="E86" s="385">
        <v>43756</v>
      </c>
      <c r="F86" s="367">
        <v>43875</v>
      </c>
      <c r="G86" s="544">
        <v>299883.96000000002</v>
      </c>
    </row>
    <row r="87" spans="1:7" s="23" customFormat="1" ht="33.75" x14ac:dyDescent="0.25">
      <c r="A87" s="952"/>
      <c r="B87" s="382" t="s">
        <v>541</v>
      </c>
      <c r="C87" s="380" t="s">
        <v>450</v>
      </c>
      <c r="D87" s="381">
        <v>39621</v>
      </c>
      <c r="E87" s="385">
        <v>43846</v>
      </c>
      <c r="F87" s="367">
        <v>44242</v>
      </c>
      <c r="G87" s="548">
        <v>0</v>
      </c>
    </row>
    <row r="88" spans="1:7" s="23" customFormat="1" x14ac:dyDescent="0.25">
      <c r="A88" s="952"/>
      <c r="B88" s="382" t="s">
        <v>245</v>
      </c>
      <c r="C88" s="380" t="s">
        <v>451</v>
      </c>
      <c r="D88" s="381">
        <v>40381</v>
      </c>
      <c r="E88" s="385">
        <v>43860</v>
      </c>
      <c r="F88" s="367">
        <v>44174</v>
      </c>
      <c r="G88" s="548">
        <v>612446.12</v>
      </c>
    </row>
    <row r="89" spans="1:7" s="23" customFormat="1" ht="33.75" x14ac:dyDescent="0.25">
      <c r="A89" s="952"/>
      <c r="B89" s="382" t="s">
        <v>242</v>
      </c>
      <c r="C89" s="380" t="s">
        <v>452</v>
      </c>
      <c r="D89" s="381">
        <v>41163</v>
      </c>
      <c r="E89" s="385">
        <v>43874</v>
      </c>
      <c r="F89" s="367">
        <v>44104</v>
      </c>
      <c r="G89" s="548">
        <v>299483.5</v>
      </c>
    </row>
    <row r="90" spans="1:7" s="23" customFormat="1" ht="33.75" x14ac:dyDescent="0.25">
      <c r="A90" s="952"/>
      <c r="B90" s="382" t="s">
        <v>275</v>
      </c>
      <c r="C90" s="380" t="s">
        <v>290</v>
      </c>
      <c r="D90" s="381">
        <v>47341</v>
      </c>
      <c r="E90" s="385">
        <v>44001</v>
      </c>
      <c r="F90" s="367">
        <v>44242</v>
      </c>
      <c r="G90" s="548">
        <v>35199.120000000003</v>
      </c>
    </row>
    <row r="91" spans="1:7" s="23" customFormat="1" ht="22.5" x14ac:dyDescent="0.25">
      <c r="A91" s="952"/>
      <c r="B91" s="382" t="s">
        <v>151</v>
      </c>
      <c r="C91" s="380" t="s">
        <v>318</v>
      </c>
      <c r="D91" s="381">
        <v>48901</v>
      </c>
      <c r="E91" s="385">
        <v>44043</v>
      </c>
      <c r="F91" s="367">
        <v>44242</v>
      </c>
      <c r="G91" s="548">
        <v>0</v>
      </c>
    </row>
    <row r="92" spans="1:7" s="23" customFormat="1" ht="33.75" x14ac:dyDescent="0.25">
      <c r="A92" s="952"/>
      <c r="B92" s="382" t="s">
        <v>242</v>
      </c>
      <c r="C92" s="383" t="s">
        <v>546</v>
      </c>
      <c r="D92" s="381">
        <v>70582</v>
      </c>
      <c r="E92" s="385">
        <v>44959</v>
      </c>
      <c r="F92" s="367">
        <v>45000</v>
      </c>
      <c r="G92" s="544">
        <v>1147973.69</v>
      </c>
    </row>
    <row r="93" spans="1:7" s="23" customFormat="1" ht="33.75" x14ac:dyDescent="0.25">
      <c r="A93" s="952"/>
      <c r="B93" s="382" t="s">
        <v>541</v>
      </c>
      <c r="C93" s="383" t="s">
        <v>566</v>
      </c>
      <c r="D93" s="381">
        <v>72841</v>
      </c>
      <c r="E93" s="385">
        <v>45043</v>
      </c>
      <c r="F93" s="367">
        <v>45084</v>
      </c>
      <c r="G93" s="548">
        <v>462611.08</v>
      </c>
    </row>
    <row r="94" spans="1:7" s="23" customFormat="1" ht="33.75" x14ac:dyDescent="0.25">
      <c r="A94" s="952"/>
      <c r="B94" s="397" t="s">
        <v>540</v>
      </c>
      <c r="C94" s="383" t="s">
        <v>554</v>
      </c>
      <c r="D94" s="381">
        <v>73577</v>
      </c>
      <c r="E94" s="385">
        <v>45071</v>
      </c>
      <c r="F94" s="367">
        <v>45112</v>
      </c>
      <c r="G94" s="548">
        <v>245134.16</v>
      </c>
    </row>
    <row r="95" spans="1:7" s="23" customFormat="1" x14ac:dyDescent="0.25">
      <c r="A95" s="952"/>
      <c r="B95" s="382" t="s">
        <v>273</v>
      </c>
      <c r="C95" s="383" t="s">
        <v>550</v>
      </c>
      <c r="D95" s="381">
        <v>73722</v>
      </c>
      <c r="E95" s="385">
        <v>45071</v>
      </c>
      <c r="F95" s="367">
        <v>45124</v>
      </c>
      <c r="G95" s="548">
        <v>684856.9</v>
      </c>
    </row>
    <row r="96" spans="1:7" s="23" customFormat="1" ht="22.5" x14ac:dyDescent="0.25">
      <c r="A96" s="952"/>
      <c r="B96" s="382" t="s">
        <v>541</v>
      </c>
      <c r="C96" s="383" t="s">
        <v>555</v>
      </c>
      <c r="D96" s="381">
        <v>73721</v>
      </c>
      <c r="E96" s="385">
        <v>45071</v>
      </c>
      <c r="F96" s="367">
        <v>45112</v>
      </c>
      <c r="G96" s="544">
        <v>388173.01</v>
      </c>
    </row>
    <row r="97" spans="1:7" s="23" customFormat="1" ht="33.75" x14ac:dyDescent="0.25">
      <c r="A97" s="954" t="s">
        <v>470</v>
      </c>
      <c r="B97" s="397" t="s">
        <v>540</v>
      </c>
      <c r="C97" s="380" t="s">
        <v>444</v>
      </c>
      <c r="D97" s="381">
        <v>33224</v>
      </c>
      <c r="E97" s="385">
        <v>43706</v>
      </c>
      <c r="F97" s="367">
        <v>43766.999988425923</v>
      </c>
      <c r="G97" s="544">
        <v>900000</v>
      </c>
    </row>
    <row r="98" spans="1:7" s="23" customFormat="1" ht="22.5" x14ac:dyDescent="0.25">
      <c r="A98" s="954"/>
      <c r="B98" s="397" t="s">
        <v>242</v>
      </c>
      <c r="C98" s="380" t="s">
        <v>489</v>
      </c>
      <c r="D98" s="381">
        <v>67381</v>
      </c>
      <c r="E98" s="385">
        <v>44588</v>
      </c>
      <c r="F98" s="550">
        <v>44903</v>
      </c>
      <c r="G98" s="544">
        <v>600000</v>
      </c>
    </row>
    <row r="99" spans="1:7" s="23" customFormat="1" x14ac:dyDescent="0.25">
      <c r="A99" s="954"/>
      <c r="B99" s="397" t="s">
        <v>365</v>
      </c>
      <c r="C99" s="380" t="s">
        <v>533</v>
      </c>
      <c r="D99" s="381">
        <v>67383</v>
      </c>
      <c r="E99" s="385">
        <v>44778</v>
      </c>
      <c r="F99" s="550">
        <v>44916</v>
      </c>
      <c r="G99" s="544">
        <v>282219.15000000002</v>
      </c>
    </row>
    <row r="100" spans="1:7" s="23" customFormat="1" ht="22.5" x14ac:dyDescent="0.25">
      <c r="A100" s="954"/>
      <c r="B100" s="397" t="s">
        <v>540</v>
      </c>
      <c r="C100" s="380" t="s">
        <v>556</v>
      </c>
      <c r="D100" s="381">
        <v>72961</v>
      </c>
      <c r="E100" s="385">
        <v>45050</v>
      </c>
      <c r="F100" s="550">
        <v>45111</v>
      </c>
      <c r="G100" s="544">
        <v>443973.45</v>
      </c>
    </row>
    <row r="101" spans="1:7" s="23" customFormat="1" x14ac:dyDescent="0.25">
      <c r="A101" s="954"/>
      <c r="B101" s="397" t="s">
        <v>245</v>
      </c>
      <c r="C101" s="380" t="s">
        <v>557</v>
      </c>
      <c r="D101" s="381">
        <v>74482</v>
      </c>
      <c r="E101" s="385">
        <v>45099</v>
      </c>
      <c r="F101" s="385">
        <v>45223</v>
      </c>
      <c r="G101" s="544">
        <v>800000</v>
      </c>
    </row>
    <row r="102" spans="1:7" s="23" customFormat="1" ht="33.75" x14ac:dyDescent="0.25">
      <c r="A102" s="954"/>
      <c r="B102" s="397" t="s">
        <v>540</v>
      </c>
      <c r="C102" s="380" t="s">
        <v>595</v>
      </c>
      <c r="D102" s="381">
        <v>75602</v>
      </c>
      <c r="E102" s="385">
        <v>45170</v>
      </c>
      <c r="F102" s="385">
        <v>45225</v>
      </c>
      <c r="G102" s="544">
        <v>398038.64</v>
      </c>
    </row>
    <row r="103" spans="1:7" s="23" customFormat="1" ht="22.5" x14ac:dyDescent="0.25">
      <c r="A103" s="954"/>
      <c r="B103" s="397" t="s">
        <v>245</v>
      </c>
      <c r="C103" s="380" t="s">
        <v>612</v>
      </c>
      <c r="D103" s="381">
        <v>76821</v>
      </c>
      <c r="E103" s="385">
        <v>45330.000011574077</v>
      </c>
      <c r="F103" s="385">
        <v>45377.999988425923</v>
      </c>
      <c r="G103" s="544">
        <v>800000</v>
      </c>
    </row>
    <row r="104" spans="1:7" s="23" customFormat="1" ht="22.5" x14ac:dyDescent="0.25">
      <c r="A104" s="954"/>
      <c r="B104" s="397" t="s">
        <v>242</v>
      </c>
      <c r="C104" s="380" t="s">
        <v>613</v>
      </c>
      <c r="D104" s="381">
        <v>78581</v>
      </c>
      <c r="E104" s="385">
        <v>45331</v>
      </c>
      <c r="F104" s="385">
        <v>45394</v>
      </c>
      <c r="G104" s="544">
        <v>210000</v>
      </c>
    </row>
    <row r="105" spans="1:7" s="23" customFormat="1" ht="22.5" x14ac:dyDescent="0.25">
      <c r="A105" s="954"/>
      <c r="B105" s="397" t="s">
        <v>540</v>
      </c>
      <c r="C105" s="380" t="s">
        <v>613</v>
      </c>
      <c r="D105" s="381">
        <v>78624</v>
      </c>
      <c r="E105" s="385">
        <v>45331</v>
      </c>
      <c r="F105" s="385">
        <v>45394</v>
      </c>
      <c r="G105" s="544">
        <v>212893.26</v>
      </c>
    </row>
    <row r="106" spans="1:7" s="23" customFormat="1" ht="22.5" x14ac:dyDescent="0.25">
      <c r="A106" s="954"/>
      <c r="B106" s="397" t="s">
        <v>238</v>
      </c>
      <c r="C106" s="380" t="s">
        <v>614</v>
      </c>
      <c r="D106" s="381">
        <v>78626</v>
      </c>
      <c r="E106" s="385">
        <v>45331</v>
      </c>
      <c r="F106" s="385">
        <v>45387</v>
      </c>
      <c r="G106" s="544">
        <v>400000</v>
      </c>
    </row>
    <row r="107" spans="1:7" s="23" customFormat="1" ht="22.5" x14ac:dyDescent="0.25">
      <c r="A107" s="952" t="s">
        <v>235</v>
      </c>
      <c r="B107" s="382" t="s">
        <v>55</v>
      </c>
      <c r="C107" s="380" t="s">
        <v>302</v>
      </c>
      <c r="D107" s="381">
        <v>18361</v>
      </c>
      <c r="E107" s="385">
        <v>43374</v>
      </c>
      <c r="F107" s="367">
        <v>43404.999988425923</v>
      </c>
      <c r="G107" s="544">
        <v>149994.57999999999</v>
      </c>
    </row>
    <row r="108" spans="1:7" s="23" customFormat="1" ht="33.75" x14ac:dyDescent="0.25">
      <c r="A108" s="952"/>
      <c r="B108" s="382" t="s">
        <v>63</v>
      </c>
      <c r="C108" s="380" t="s">
        <v>369</v>
      </c>
      <c r="D108" s="381">
        <v>21055</v>
      </c>
      <c r="E108" s="385">
        <v>43497</v>
      </c>
      <c r="F108" s="367">
        <v>43539.999988425923</v>
      </c>
      <c r="G108" s="544">
        <v>0</v>
      </c>
    </row>
    <row r="109" spans="1:7" s="23" customFormat="1" ht="22.5" x14ac:dyDescent="0.25">
      <c r="A109" s="952"/>
      <c r="B109" s="382" t="s">
        <v>236</v>
      </c>
      <c r="C109" s="380" t="s">
        <v>370</v>
      </c>
      <c r="D109" s="381">
        <v>29682</v>
      </c>
      <c r="E109" s="385">
        <v>43605</v>
      </c>
      <c r="F109" s="367">
        <v>43651.999988425923</v>
      </c>
      <c r="G109" s="544">
        <v>720000</v>
      </c>
    </row>
    <row r="110" spans="1:7" s="23" customFormat="1" ht="22.5" x14ac:dyDescent="0.25">
      <c r="A110" s="952"/>
      <c r="B110" s="382" t="s">
        <v>63</v>
      </c>
      <c r="C110" s="380" t="s">
        <v>368</v>
      </c>
      <c r="D110" s="381">
        <v>40126</v>
      </c>
      <c r="E110" s="385">
        <v>43854</v>
      </c>
      <c r="F110" s="367">
        <v>44592</v>
      </c>
      <c r="G110" s="544">
        <v>450000</v>
      </c>
    </row>
    <row r="111" spans="1:7" s="23" customFormat="1" ht="22.5" x14ac:dyDescent="0.25">
      <c r="A111" s="952"/>
      <c r="B111" s="382" t="s">
        <v>275</v>
      </c>
      <c r="C111" s="380" t="s">
        <v>371</v>
      </c>
      <c r="D111" s="381">
        <v>40125</v>
      </c>
      <c r="E111" s="385">
        <v>43854</v>
      </c>
      <c r="F111" s="367">
        <v>44043</v>
      </c>
      <c r="G111" s="544">
        <v>115610.76</v>
      </c>
    </row>
    <row r="112" spans="1:7" s="23" customFormat="1" ht="22.5" x14ac:dyDescent="0.25">
      <c r="A112" s="952"/>
      <c r="B112" s="382" t="s">
        <v>236</v>
      </c>
      <c r="C112" s="380" t="s">
        <v>534</v>
      </c>
      <c r="D112" s="381">
        <v>78023</v>
      </c>
      <c r="E112" s="385">
        <v>45311</v>
      </c>
      <c r="F112" s="385">
        <v>45350</v>
      </c>
      <c r="G112" s="544">
        <v>554324.4</v>
      </c>
    </row>
    <row r="113" spans="1:7" s="23" customFormat="1" ht="33.75" x14ac:dyDescent="0.25">
      <c r="A113" s="952"/>
      <c r="B113" s="382" t="s">
        <v>63</v>
      </c>
      <c r="C113" s="380" t="s">
        <v>369</v>
      </c>
      <c r="D113" s="381">
        <v>78041</v>
      </c>
      <c r="E113" s="385">
        <v>45314</v>
      </c>
      <c r="F113" s="385">
        <v>45350</v>
      </c>
      <c r="G113" s="544">
        <v>0</v>
      </c>
    </row>
    <row r="114" spans="1:7" s="23" customFormat="1" ht="56.25" x14ac:dyDescent="0.25">
      <c r="A114" s="952"/>
      <c r="B114" s="382" t="s">
        <v>245</v>
      </c>
      <c r="C114" s="380" t="s">
        <v>633</v>
      </c>
      <c r="D114" s="381">
        <v>80246</v>
      </c>
      <c r="E114" s="385">
        <v>45414</v>
      </c>
      <c r="F114" s="385">
        <v>45453</v>
      </c>
      <c r="G114" s="544">
        <v>1337160</v>
      </c>
    </row>
    <row r="115" spans="1:7" s="23" customFormat="1" ht="33.75" x14ac:dyDescent="0.25">
      <c r="A115" s="952" t="s">
        <v>300</v>
      </c>
      <c r="B115" s="382" t="s">
        <v>63</v>
      </c>
      <c r="C115" s="380" t="s">
        <v>268</v>
      </c>
      <c r="D115" s="381">
        <v>39641</v>
      </c>
      <c r="E115" s="385">
        <v>43839</v>
      </c>
      <c r="F115" s="367">
        <v>44119</v>
      </c>
      <c r="G115" s="544">
        <v>248381.12</v>
      </c>
    </row>
    <row r="116" spans="1:7" s="23" customFormat="1" ht="33.75" x14ac:dyDescent="0.25">
      <c r="A116" s="952"/>
      <c r="B116" s="382" t="s">
        <v>63</v>
      </c>
      <c r="C116" s="380" t="s">
        <v>442</v>
      </c>
      <c r="D116" s="381">
        <v>39601</v>
      </c>
      <c r="E116" s="385">
        <v>43839</v>
      </c>
      <c r="F116" s="367">
        <v>44119</v>
      </c>
      <c r="G116" s="544">
        <v>157950</v>
      </c>
    </row>
    <row r="117" spans="1:7" s="23" customFormat="1" ht="22.5" x14ac:dyDescent="0.25">
      <c r="A117" s="952"/>
      <c r="B117" s="382" t="s">
        <v>540</v>
      </c>
      <c r="C117" s="380" t="s">
        <v>441</v>
      </c>
      <c r="D117" s="381">
        <v>40143</v>
      </c>
      <c r="E117" s="385">
        <v>43860</v>
      </c>
      <c r="F117" s="367">
        <v>44119</v>
      </c>
      <c r="G117" s="544">
        <v>85748.03</v>
      </c>
    </row>
    <row r="118" spans="1:7" s="23" customFormat="1" ht="33.75" x14ac:dyDescent="0.25">
      <c r="A118" s="952"/>
      <c r="B118" s="382" t="s">
        <v>540</v>
      </c>
      <c r="C118" s="380" t="s">
        <v>269</v>
      </c>
      <c r="D118" s="381">
        <v>40083</v>
      </c>
      <c r="E118" s="385">
        <v>43860</v>
      </c>
      <c r="F118" s="367">
        <v>44119</v>
      </c>
      <c r="G118" s="544">
        <v>77677.02</v>
      </c>
    </row>
    <row r="119" spans="1:7" s="23" customFormat="1" ht="33.75" x14ac:dyDescent="0.25">
      <c r="A119" s="952"/>
      <c r="B119" s="382" t="s">
        <v>541</v>
      </c>
      <c r="C119" s="380" t="s">
        <v>270</v>
      </c>
      <c r="D119" s="381">
        <v>39986</v>
      </c>
      <c r="E119" s="385">
        <v>43861</v>
      </c>
      <c r="F119" s="367">
        <v>44119</v>
      </c>
      <c r="G119" s="544">
        <v>177106.18</v>
      </c>
    </row>
    <row r="120" spans="1:7" s="23" customFormat="1" ht="33.75" x14ac:dyDescent="0.25">
      <c r="A120" s="952"/>
      <c r="B120" s="382" t="s">
        <v>540</v>
      </c>
      <c r="C120" s="380" t="s">
        <v>457</v>
      </c>
      <c r="D120" s="381">
        <v>40301</v>
      </c>
      <c r="E120" s="385">
        <v>43860</v>
      </c>
      <c r="F120" s="367">
        <v>44119</v>
      </c>
      <c r="G120" s="544">
        <v>50900</v>
      </c>
    </row>
    <row r="121" spans="1:7" s="23" customFormat="1" ht="33.75" x14ac:dyDescent="0.25">
      <c r="A121" s="952"/>
      <c r="B121" s="382" t="s">
        <v>242</v>
      </c>
      <c r="C121" s="380" t="s">
        <v>443</v>
      </c>
      <c r="D121" s="381">
        <v>42462</v>
      </c>
      <c r="E121" s="385">
        <v>43902</v>
      </c>
      <c r="F121" s="367">
        <v>44119</v>
      </c>
      <c r="G121" s="544">
        <v>210000</v>
      </c>
    </row>
    <row r="122" spans="1:7" s="23" customFormat="1" ht="22.5" x14ac:dyDescent="0.25">
      <c r="A122" s="952"/>
      <c r="B122" s="382" t="s">
        <v>242</v>
      </c>
      <c r="C122" s="380" t="s">
        <v>458</v>
      </c>
      <c r="D122" s="381">
        <v>42243</v>
      </c>
      <c r="E122" s="385">
        <v>43902</v>
      </c>
      <c r="F122" s="367">
        <v>44119</v>
      </c>
      <c r="G122" s="544">
        <v>283500</v>
      </c>
    </row>
    <row r="123" spans="1:7" s="23" customFormat="1" ht="22.5" x14ac:dyDescent="0.25">
      <c r="A123" s="952"/>
      <c r="B123" s="382" t="s">
        <v>273</v>
      </c>
      <c r="C123" s="380" t="s">
        <v>429</v>
      </c>
      <c r="D123" s="381">
        <v>42281</v>
      </c>
      <c r="E123" s="385">
        <v>43902</v>
      </c>
      <c r="F123" s="367">
        <v>44119</v>
      </c>
      <c r="G123" s="544">
        <v>207013.07</v>
      </c>
    </row>
    <row r="124" spans="1:7" s="23" customFormat="1" ht="33.75" x14ac:dyDescent="0.25">
      <c r="A124" s="952"/>
      <c r="B124" s="382" t="s">
        <v>275</v>
      </c>
      <c r="C124" s="380" t="s">
        <v>459</v>
      </c>
      <c r="D124" s="381">
        <v>44826</v>
      </c>
      <c r="E124" s="385">
        <v>43951</v>
      </c>
      <c r="F124" s="367">
        <v>44119</v>
      </c>
      <c r="G124" s="544">
        <v>327944.75</v>
      </c>
    </row>
    <row r="125" spans="1:7" s="23" customFormat="1" ht="22.5" x14ac:dyDescent="0.25">
      <c r="A125" s="952"/>
      <c r="B125" s="382" t="s">
        <v>273</v>
      </c>
      <c r="C125" s="380" t="s">
        <v>429</v>
      </c>
      <c r="D125" s="381">
        <v>65881</v>
      </c>
      <c r="E125" s="385">
        <v>44735</v>
      </c>
      <c r="F125" s="367">
        <v>44816</v>
      </c>
      <c r="G125" s="544">
        <v>1899874</v>
      </c>
    </row>
    <row r="126" spans="1:7" s="23" customFormat="1" ht="33.75" x14ac:dyDescent="0.25">
      <c r="A126" s="952"/>
      <c r="B126" s="382" t="s">
        <v>242</v>
      </c>
      <c r="C126" s="380" t="s">
        <v>548</v>
      </c>
      <c r="D126" s="381">
        <v>70421</v>
      </c>
      <c r="E126" s="385">
        <v>44973</v>
      </c>
      <c r="F126" s="367">
        <v>45036</v>
      </c>
      <c r="G126" s="544">
        <v>60000</v>
      </c>
    </row>
    <row r="127" spans="1:7" s="23" customFormat="1" ht="22.5" x14ac:dyDescent="0.25">
      <c r="A127" s="952"/>
      <c r="B127" s="382" t="s">
        <v>242</v>
      </c>
      <c r="C127" s="380" t="s">
        <v>549</v>
      </c>
      <c r="D127" s="381">
        <v>70401</v>
      </c>
      <c r="E127" s="385">
        <v>44973</v>
      </c>
      <c r="F127" s="367">
        <v>45036</v>
      </c>
      <c r="G127" s="544">
        <v>120000</v>
      </c>
    </row>
    <row r="128" spans="1:7" s="23" customFormat="1" ht="22.5" x14ac:dyDescent="0.25">
      <c r="A128" s="952"/>
      <c r="B128" s="382" t="s">
        <v>540</v>
      </c>
      <c r="C128" s="380" t="s">
        <v>441</v>
      </c>
      <c r="D128" s="381">
        <v>72182</v>
      </c>
      <c r="E128" s="385">
        <v>45127</v>
      </c>
      <c r="F128" s="367">
        <v>45189</v>
      </c>
      <c r="G128" s="544">
        <v>120000</v>
      </c>
    </row>
    <row r="129" spans="1:7" s="23" customFormat="1" ht="33.75" x14ac:dyDescent="0.25">
      <c r="A129" s="952"/>
      <c r="B129" s="382" t="s">
        <v>541</v>
      </c>
      <c r="C129" s="380" t="s">
        <v>270</v>
      </c>
      <c r="D129" s="381">
        <v>74781</v>
      </c>
      <c r="E129" s="385">
        <v>45127</v>
      </c>
      <c r="F129" s="367">
        <v>45189</v>
      </c>
      <c r="G129" s="544">
        <v>120000</v>
      </c>
    </row>
    <row r="130" spans="1:7" s="23" customFormat="1" ht="33.75" x14ac:dyDescent="0.25">
      <c r="A130" s="952"/>
      <c r="B130" s="382" t="s">
        <v>540</v>
      </c>
      <c r="C130" s="380" t="s">
        <v>269</v>
      </c>
      <c r="D130" s="381">
        <v>75282</v>
      </c>
      <c r="E130" s="385">
        <v>45148</v>
      </c>
      <c r="F130" s="367">
        <v>45209</v>
      </c>
      <c r="G130" s="544">
        <v>120000</v>
      </c>
    </row>
    <row r="131" spans="1:7" s="23" customFormat="1" ht="22.5" x14ac:dyDescent="0.25">
      <c r="A131" s="952"/>
      <c r="B131" s="382" t="s">
        <v>273</v>
      </c>
      <c r="C131" s="380" t="s">
        <v>274</v>
      </c>
      <c r="D131" s="381">
        <v>78309</v>
      </c>
      <c r="E131" s="385">
        <v>45386</v>
      </c>
      <c r="F131" s="385">
        <v>45429</v>
      </c>
      <c r="G131" s="544">
        <v>1208873.4099999999</v>
      </c>
    </row>
    <row r="132" spans="1:7" s="23" customFormat="1" ht="33.75" x14ac:dyDescent="0.25">
      <c r="A132" s="952" t="s">
        <v>299</v>
      </c>
      <c r="B132" s="382" t="s">
        <v>245</v>
      </c>
      <c r="C132" s="380" t="s">
        <v>460</v>
      </c>
      <c r="D132" s="381">
        <v>23882</v>
      </c>
      <c r="E132" s="385">
        <v>43538</v>
      </c>
      <c r="F132" s="367">
        <v>43570</v>
      </c>
      <c r="G132" s="544">
        <v>255604.41</v>
      </c>
    </row>
    <row r="133" spans="1:7" s="23" customFormat="1" ht="22.5" x14ac:dyDescent="0.25">
      <c r="A133" s="952"/>
      <c r="B133" s="382" t="s">
        <v>245</v>
      </c>
      <c r="C133" s="380" t="s">
        <v>461</v>
      </c>
      <c r="D133" s="381">
        <v>30923</v>
      </c>
      <c r="E133" s="385">
        <v>43636</v>
      </c>
      <c r="F133" s="367">
        <v>43728.999988425923</v>
      </c>
      <c r="G133" s="544">
        <v>1375028.9400000002</v>
      </c>
    </row>
    <row r="134" spans="1:7" s="23" customFormat="1" ht="22.5" x14ac:dyDescent="0.25">
      <c r="A134" s="952"/>
      <c r="B134" s="397" t="s">
        <v>540</v>
      </c>
      <c r="C134" s="380" t="s">
        <v>461</v>
      </c>
      <c r="D134" s="381">
        <v>34923</v>
      </c>
      <c r="E134" s="385">
        <v>43678</v>
      </c>
      <c r="F134" s="367">
        <v>43784.999988425923</v>
      </c>
      <c r="G134" s="544">
        <v>668435.93999999994</v>
      </c>
    </row>
    <row r="135" spans="1:7" s="23" customFormat="1" x14ac:dyDescent="0.25">
      <c r="A135" s="952"/>
      <c r="B135" s="397" t="s">
        <v>540</v>
      </c>
      <c r="C135" s="380" t="s">
        <v>320</v>
      </c>
      <c r="D135" s="381">
        <v>49261</v>
      </c>
      <c r="E135" s="385">
        <v>44056</v>
      </c>
      <c r="F135" s="367">
        <v>44286</v>
      </c>
      <c r="G135" s="544">
        <v>0</v>
      </c>
    </row>
    <row r="136" spans="1:7" s="23" customFormat="1" ht="22.5" x14ac:dyDescent="0.25">
      <c r="A136" s="952"/>
      <c r="B136" s="397" t="s">
        <v>540</v>
      </c>
      <c r="C136" s="380" t="s">
        <v>321</v>
      </c>
      <c r="D136" s="381">
        <v>49283</v>
      </c>
      <c r="E136" s="385">
        <v>44056</v>
      </c>
      <c r="F136" s="367">
        <v>44286</v>
      </c>
      <c r="G136" s="544">
        <v>391317.74</v>
      </c>
    </row>
    <row r="137" spans="1:7" s="23" customFormat="1" ht="45" x14ac:dyDescent="0.25">
      <c r="A137" s="952"/>
      <c r="B137" s="397" t="s">
        <v>540</v>
      </c>
      <c r="C137" s="380" t="s">
        <v>322</v>
      </c>
      <c r="D137" s="381">
        <v>49262</v>
      </c>
      <c r="E137" s="385">
        <v>44056</v>
      </c>
      <c r="F137" s="367">
        <v>44286</v>
      </c>
      <c r="G137" s="544">
        <v>18553.46</v>
      </c>
    </row>
    <row r="138" spans="1:7" s="23" customFormat="1" ht="33.75" x14ac:dyDescent="0.25">
      <c r="A138" s="952"/>
      <c r="B138" s="382" t="s">
        <v>365</v>
      </c>
      <c r="C138" s="380" t="s">
        <v>423</v>
      </c>
      <c r="D138" s="381">
        <v>62762</v>
      </c>
      <c r="E138" s="385">
        <v>44499</v>
      </c>
      <c r="F138" s="367">
        <v>44635</v>
      </c>
      <c r="G138" s="544">
        <v>102242.82</v>
      </c>
    </row>
    <row r="139" spans="1:7" s="23" customFormat="1" ht="22.5" x14ac:dyDescent="0.25">
      <c r="A139" s="952"/>
      <c r="B139" s="397" t="s">
        <v>540</v>
      </c>
      <c r="C139" s="380" t="s">
        <v>321</v>
      </c>
      <c r="D139" s="551">
        <v>71901</v>
      </c>
      <c r="E139" s="385">
        <v>45008</v>
      </c>
      <c r="F139" s="367">
        <v>45051</v>
      </c>
      <c r="G139" s="544">
        <v>369426.78</v>
      </c>
    </row>
    <row r="140" spans="1:7" s="23" customFormat="1" ht="22.5" x14ac:dyDescent="0.25">
      <c r="A140" s="952"/>
      <c r="B140" s="382" t="s">
        <v>245</v>
      </c>
      <c r="C140" s="380" t="s">
        <v>334</v>
      </c>
      <c r="D140" s="551">
        <v>71862</v>
      </c>
      <c r="E140" s="385">
        <v>45008</v>
      </c>
      <c r="F140" s="367">
        <v>45051</v>
      </c>
      <c r="G140" s="544">
        <v>386409.43</v>
      </c>
    </row>
    <row r="141" spans="1:7" s="23" customFormat="1" x14ac:dyDescent="0.25">
      <c r="A141" s="952" t="s">
        <v>241</v>
      </c>
      <c r="B141" s="382" t="s">
        <v>242</v>
      </c>
      <c r="C141" s="380" t="s">
        <v>462</v>
      </c>
      <c r="D141" s="381">
        <v>24941</v>
      </c>
      <c r="E141" s="385">
        <v>43552</v>
      </c>
      <c r="F141" s="367">
        <v>43707</v>
      </c>
      <c r="G141" s="544">
        <v>380000</v>
      </c>
    </row>
    <row r="142" spans="1:7" s="23" customFormat="1" ht="22.5" x14ac:dyDescent="0.25">
      <c r="A142" s="952"/>
      <c r="B142" s="382" t="s">
        <v>242</v>
      </c>
      <c r="C142" s="380" t="s">
        <v>244</v>
      </c>
      <c r="D142" s="381">
        <v>25205</v>
      </c>
      <c r="E142" s="385">
        <v>43552</v>
      </c>
      <c r="F142" s="367">
        <v>43707</v>
      </c>
      <c r="G142" s="544">
        <v>45000</v>
      </c>
    </row>
    <row r="143" spans="1:7" s="23" customFormat="1" ht="22.5" x14ac:dyDescent="0.25">
      <c r="A143" s="952"/>
      <c r="B143" s="382" t="s">
        <v>541</v>
      </c>
      <c r="C143" s="380" t="s">
        <v>264</v>
      </c>
      <c r="D143" s="381">
        <v>31304</v>
      </c>
      <c r="E143" s="385">
        <v>43650</v>
      </c>
      <c r="F143" s="367">
        <v>43742.999988425923</v>
      </c>
      <c r="G143" s="544">
        <v>30000</v>
      </c>
    </row>
    <row r="144" spans="1:7" s="23" customFormat="1" ht="22.5" x14ac:dyDescent="0.25">
      <c r="A144" s="952"/>
      <c r="B144" s="397" t="s">
        <v>540</v>
      </c>
      <c r="C144" s="380" t="s">
        <v>465</v>
      </c>
      <c r="D144" s="381">
        <v>31305</v>
      </c>
      <c r="E144" s="385">
        <v>43650</v>
      </c>
      <c r="F144" s="367">
        <v>43742.999988425923</v>
      </c>
      <c r="G144" s="544">
        <v>6390.09</v>
      </c>
    </row>
    <row r="145" spans="1:7" s="23" customFormat="1" ht="22.5" x14ac:dyDescent="0.25">
      <c r="A145" s="952"/>
      <c r="B145" s="382" t="s">
        <v>541</v>
      </c>
      <c r="C145" s="380" t="s">
        <v>463</v>
      </c>
      <c r="D145" s="381">
        <v>35405</v>
      </c>
      <c r="E145" s="385">
        <v>43734</v>
      </c>
      <c r="F145" s="367">
        <v>43795</v>
      </c>
      <c r="G145" s="544">
        <v>119035.9</v>
      </c>
    </row>
    <row r="146" spans="1:7" s="23" customFormat="1" ht="45" x14ac:dyDescent="0.25">
      <c r="A146" s="952"/>
      <c r="B146" s="382" t="s">
        <v>242</v>
      </c>
      <c r="C146" s="380" t="s">
        <v>286</v>
      </c>
      <c r="D146" s="381">
        <v>42383</v>
      </c>
      <c r="E146" s="385">
        <v>43958</v>
      </c>
      <c r="F146" s="367">
        <v>44104</v>
      </c>
      <c r="G146" s="544">
        <v>0</v>
      </c>
    </row>
    <row r="147" spans="1:7" s="23" customFormat="1" ht="22.5" x14ac:dyDescent="0.25">
      <c r="A147" s="952"/>
      <c r="B147" s="382" t="s">
        <v>541</v>
      </c>
      <c r="C147" s="380" t="s">
        <v>287</v>
      </c>
      <c r="D147" s="381">
        <v>42644</v>
      </c>
      <c r="E147" s="385">
        <v>43958</v>
      </c>
      <c r="F147" s="367">
        <v>44104</v>
      </c>
      <c r="G147" s="544">
        <v>224591.16</v>
      </c>
    </row>
    <row r="148" spans="1:7" s="23" customFormat="1" ht="22.5" x14ac:dyDescent="0.25">
      <c r="A148" s="952"/>
      <c r="B148" s="382" t="s">
        <v>55</v>
      </c>
      <c r="C148" s="380" t="s">
        <v>464</v>
      </c>
      <c r="D148" s="381">
        <v>45062</v>
      </c>
      <c r="E148" s="385">
        <v>43958</v>
      </c>
      <c r="F148" s="367">
        <v>44104</v>
      </c>
      <c r="G148" s="544">
        <v>0</v>
      </c>
    </row>
    <row r="149" spans="1:7" s="23" customFormat="1" ht="22.5" x14ac:dyDescent="0.25">
      <c r="A149" s="952"/>
      <c r="B149" s="382" t="s">
        <v>541</v>
      </c>
      <c r="C149" s="380" t="s">
        <v>264</v>
      </c>
      <c r="D149" s="381">
        <v>45422</v>
      </c>
      <c r="E149" s="385">
        <v>43958</v>
      </c>
      <c r="F149" s="367">
        <v>44104</v>
      </c>
      <c r="G149" s="544">
        <v>0</v>
      </c>
    </row>
    <row r="150" spans="1:7" s="23" customFormat="1" ht="22.5" x14ac:dyDescent="0.25">
      <c r="A150" s="952"/>
      <c r="B150" s="382" t="s">
        <v>541</v>
      </c>
      <c r="C150" s="380" t="s">
        <v>289</v>
      </c>
      <c r="D150" s="381">
        <v>45425</v>
      </c>
      <c r="E150" s="385">
        <v>43958</v>
      </c>
      <c r="F150" s="367">
        <v>44104</v>
      </c>
      <c r="G150" s="544">
        <v>76374.87</v>
      </c>
    </row>
    <row r="151" spans="1:7" s="23" customFormat="1" ht="22.5" x14ac:dyDescent="0.25">
      <c r="A151" s="952"/>
      <c r="B151" s="382" t="s">
        <v>245</v>
      </c>
      <c r="C151" s="380" t="s">
        <v>415</v>
      </c>
      <c r="D151" s="381">
        <v>56722</v>
      </c>
      <c r="E151" s="385">
        <v>44357</v>
      </c>
      <c r="F151" s="367">
        <v>44545</v>
      </c>
      <c r="G151" s="544">
        <v>954360</v>
      </c>
    </row>
    <row r="152" spans="1:7" s="23" customFormat="1" x14ac:dyDescent="0.25">
      <c r="A152" s="952"/>
      <c r="B152" s="382" t="s">
        <v>541</v>
      </c>
      <c r="C152" s="380" t="s">
        <v>491</v>
      </c>
      <c r="D152" s="381">
        <v>64866</v>
      </c>
      <c r="E152" s="385">
        <v>44693</v>
      </c>
      <c r="F152" s="367">
        <v>44732</v>
      </c>
      <c r="G152" s="544">
        <v>551890.34</v>
      </c>
    </row>
    <row r="153" spans="1:7" s="23" customFormat="1" ht="56.25" x14ac:dyDescent="0.25">
      <c r="A153" s="952"/>
      <c r="B153" s="382" t="s">
        <v>275</v>
      </c>
      <c r="C153" s="380" t="s">
        <v>558</v>
      </c>
      <c r="D153" s="381">
        <v>73441</v>
      </c>
      <c r="E153" s="385">
        <v>45064</v>
      </c>
      <c r="F153" s="367">
        <v>45111</v>
      </c>
      <c r="G153" s="544">
        <v>112000</v>
      </c>
    </row>
    <row r="154" spans="1:7" s="23" customFormat="1" ht="22.5" x14ac:dyDescent="0.25">
      <c r="A154" s="952"/>
      <c r="B154" s="382" t="s">
        <v>151</v>
      </c>
      <c r="C154" s="380" t="s">
        <v>559</v>
      </c>
      <c r="D154" s="381">
        <v>73465</v>
      </c>
      <c r="E154" s="385">
        <v>45064</v>
      </c>
      <c r="F154" s="367">
        <v>45126</v>
      </c>
      <c r="G154" s="544">
        <v>562141.98</v>
      </c>
    </row>
    <row r="155" spans="1:7" s="23" customFormat="1" ht="33.75" x14ac:dyDescent="0.25">
      <c r="A155" s="952"/>
      <c r="B155" s="382" t="s">
        <v>275</v>
      </c>
      <c r="C155" s="380" t="s">
        <v>578</v>
      </c>
      <c r="D155" s="381">
        <v>74681</v>
      </c>
      <c r="E155" s="385">
        <v>45113</v>
      </c>
      <c r="F155" s="367">
        <v>45145</v>
      </c>
      <c r="G155" s="544">
        <v>60000</v>
      </c>
    </row>
    <row r="156" spans="1:7" s="23" customFormat="1" ht="22.5" x14ac:dyDescent="0.25">
      <c r="A156" s="952"/>
      <c r="B156" s="382" t="s">
        <v>151</v>
      </c>
      <c r="C156" s="380" t="s">
        <v>615</v>
      </c>
      <c r="D156" s="381">
        <v>78844</v>
      </c>
      <c r="E156" s="385">
        <v>45351</v>
      </c>
      <c r="F156" s="367">
        <v>45380</v>
      </c>
      <c r="G156" s="544">
        <v>427113.34</v>
      </c>
    </row>
    <row r="157" spans="1:7" s="23" customFormat="1" ht="22.5" x14ac:dyDescent="0.25">
      <c r="A157" s="952"/>
      <c r="B157" s="382" t="s">
        <v>238</v>
      </c>
      <c r="C157" s="380" t="s">
        <v>664</v>
      </c>
      <c r="D157" s="381">
        <v>79223</v>
      </c>
      <c r="E157" s="385">
        <v>45379.999988425923</v>
      </c>
      <c r="F157" s="367">
        <v>45411.999988425923</v>
      </c>
      <c r="G157" s="544">
        <v>1374482.59</v>
      </c>
    </row>
    <row r="158" spans="1:7" s="23" customFormat="1" ht="22.5" x14ac:dyDescent="0.25">
      <c r="A158" s="952"/>
      <c r="B158" s="382" t="s">
        <v>238</v>
      </c>
      <c r="C158" s="380" t="s">
        <v>664</v>
      </c>
      <c r="D158" s="381">
        <v>84202</v>
      </c>
      <c r="E158" s="385">
        <v>45582.000706018516</v>
      </c>
      <c r="F158" s="367">
        <v>45600.999988425923</v>
      </c>
      <c r="G158" s="544">
        <v>370091.21</v>
      </c>
    </row>
    <row r="159" spans="1:7" s="23" customFormat="1" ht="22.5" x14ac:dyDescent="0.25">
      <c r="A159" s="952" t="s">
        <v>355</v>
      </c>
      <c r="B159" s="382" t="s">
        <v>541</v>
      </c>
      <c r="C159" s="380" t="s">
        <v>326</v>
      </c>
      <c r="D159" s="381">
        <v>49102</v>
      </c>
      <c r="E159" s="385">
        <v>44042</v>
      </c>
      <c r="F159" s="367">
        <v>44227</v>
      </c>
      <c r="G159" s="544">
        <v>330000</v>
      </c>
    </row>
    <row r="160" spans="1:7" s="23" customFormat="1" ht="22.5" x14ac:dyDescent="0.25">
      <c r="A160" s="952"/>
      <c r="B160" s="397" t="s">
        <v>540</v>
      </c>
      <c r="C160" s="380" t="s">
        <v>327</v>
      </c>
      <c r="D160" s="381">
        <v>48962</v>
      </c>
      <c r="E160" s="385">
        <v>44042</v>
      </c>
      <c r="F160" s="367">
        <v>44227</v>
      </c>
      <c r="G160" s="544">
        <v>390000</v>
      </c>
    </row>
    <row r="161" spans="1:7" s="23" customFormat="1" ht="22.5" x14ac:dyDescent="0.25">
      <c r="A161" s="952"/>
      <c r="B161" s="397" t="s">
        <v>540</v>
      </c>
      <c r="C161" s="380" t="s">
        <v>328</v>
      </c>
      <c r="D161" s="381">
        <v>49081</v>
      </c>
      <c r="E161" s="385">
        <v>44042</v>
      </c>
      <c r="F161" s="367">
        <v>44227</v>
      </c>
      <c r="G161" s="552">
        <v>1125738.79</v>
      </c>
    </row>
    <row r="162" spans="1:7" s="23" customFormat="1" ht="33.75" x14ac:dyDescent="0.25">
      <c r="A162" s="952"/>
      <c r="B162" s="397" t="s">
        <v>540</v>
      </c>
      <c r="C162" s="380" t="s">
        <v>329</v>
      </c>
      <c r="D162" s="381">
        <v>49101</v>
      </c>
      <c r="E162" s="385">
        <v>44042</v>
      </c>
      <c r="F162" s="367">
        <v>44227</v>
      </c>
      <c r="G162" s="544">
        <v>797004.93</v>
      </c>
    </row>
    <row r="163" spans="1:7" s="23" customFormat="1" ht="22.5" x14ac:dyDescent="0.25">
      <c r="A163" s="952"/>
      <c r="B163" s="382" t="s">
        <v>245</v>
      </c>
      <c r="C163" s="380" t="s">
        <v>389</v>
      </c>
      <c r="D163" s="381">
        <v>53361</v>
      </c>
      <c r="E163" s="385">
        <v>44235</v>
      </c>
      <c r="F163" s="367">
        <v>44397</v>
      </c>
      <c r="G163" s="544">
        <v>200000</v>
      </c>
    </row>
    <row r="164" spans="1:7" s="23" customFormat="1" x14ac:dyDescent="0.25">
      <c r="A164" s="952"/>
      <c r="B164" s="382" t="s">
        <v>242</v>
      </c>
      <c r="C164" s="380" t="s">
        <v>388</v>
      </c>
      <c r="D164" s="381">
        <v>52501</v>
      </c>
      <c r="E164" s="385">
        <v>44235</v>
      </c>
      <c r="F164" s="367">
        <v>44397</v>
      </c>
      <c r="G164" s="544">
        <v>222750</v>
      </c>
    </row>
    <row r="165" spans="1:7" s="23" customFormat="1" ht="22.5" x14ac:dyDescent="0.25">
      <c r="A165" s="952"/>
      <c r="B165" s="553" t="s">
        <v>275</v>
      </c>
      <c r="C165" s="554" t="s">
        <v>503</v>
      </c>
      <c r="D165" s="551">
        <v>61903</v>
      </c>
      <c r="E165" s="385">
        <v>44623</v>
      </c>
      <c r="F165" s="367">
        <v>44683</v>
      </c>
      <c r="G165" s="552">
        <v>330000</v>
      </c>
    </row>
    <row r="166" spans="1:7" s="23" customFormat="1" x14ac:dyDescent="0.25">
      <c r="A166" s="952"/>
      <c r="B166" s="553" t="s">
        <v>151</v>
      </c>
      <c r="C166" s="554" t="s">
        <v>668</v>
      </c>
      <c r="D166" s="551">
        <v>82942</v>
      </c>
      <c r="E166" s="385">
        <v>45512.000011574077</v>
      </c>
      <c r="F166" s="367">
        <v>45548</v>
      </c>
      <c r="G166" s="552">
        <v>100000</v>
      </c>
    </row>
    <row r="167" spans="1:7" s="23" customFormat="1" ht="33.75" x14ac:dyDescent="0.25">
      <c r="A167" s="952"/>
      <c r="B167" s="553" t="s">
        <v>245</v>
      </c>
      <c r="C167" s="554" t="s">
        <v>669</v>
      </c>
      <c r="D167" s="551">
        <v>83102</v>
      </c>
      <c r="E167" s="385">
        <v>45504.000011574077</v>
      </c>
      <c r="F167" s="367">
        <v>45544</v>
      </c>
      <c r="G167" s="552">
        <v>1000000</v>
      </c>
    </row>
    <row r="168" spans="1:7" s="23" customFormat="1" ht="33.75" x14ac:dyDescent="0.25">
      <c r="A168" s="952" t="s">
        <v>356</v>
      </c>
      <c r="B168" s="382" t="s">
        <v>238</v>
      </c>
      <c r="C168" s="380" t="s">
        <v>377</v>
      </c>
      <c r="D168" s="381">
        <v>51708</v>
      </c>
      <c r="E168" s="385">
        <v>44194</v>
      </c>
      <c r="F168" s="367">
        <v>44575</v>
      </c>
      <c r="G168" s="544">
        <v>820000</v>
      </c>
    </row>
    <row r="169" spans="1:7" s="23" customFormat="1" ht="45" x14ac:dyDescent="0.25">
      <c r="A169" s="952"/>
      <c r="B169" s="382" t="s">
        <v>275</v>
      </c>
      <c r="C169" s="380" t="s">
        <v>421</v>
      </c>
      <c r="D169" s="381">
        <v>60521</v>
      </c>
      <c r="E169" s="385">
        <v>44497</v>
      </c>
      <c r="F169" s="367">
        <v>44592</v>
      </c>
      <c r="G169" s="544">
        <v>3600</v>
      </c>
    </row>
    <row r="170" spans="1:7" s="23" customFormat="1" ht="22.5" x14ac:dyDescent="0.25">
      <c r="A170" s="952"/>
      <c r="B170" s="382" t="s">
        <v>242</v>
      </c>
      <c r="C170" s="380" t="s">
        <v>466</v>
      </c>
      <c r="D170" s="381">
        <v>60645</v>
      </c>
      <c r="E170" s="385">
        <v>44504</v>
      </c>
      <c r="F170" s="367">
        <v>44592</v>
      </c>
      <c r="G170" s="544">
        <v>440000</v>
      </c>
    </row>
    <row r="171" spans="1:7" s="23" customFormat="1" ht="45" x14ac:dyDescent="0.25">
      <c r="A171" s="952"/>
      <c r="B171" s="382" t="s">
        <v>242</v>
      </c>
      <c r="C171" s="380" t="s">
        <v>421</v>
      </c>
      <c r="D171" s="381">
        <v>60721</v>
      </c>
      <c r="E171" s="385">
        <v>44504</v>
      </c>
      <c r="F171" s="367">
        <v>44592</v>
      </c>
      <c r="G171" s="544">
        <v>100000</v>
      </c>
    </row>
    <row r="172" spans="1:7" s="23" customFormat="1" ht="45" x14ac:dyDescent="0.25">
      <c r="A172" s="952"/>
      <c r="B172" s="382" t="s">
        <v>540</v>
      </c>
      <c r="C172" s="380" t="s">
        <v>480</v>
      </c>
      <c r="D172" s="381">
        <v>66601</v>
      </c>
      <c r="E172" s="385">
        <v>44770</v>
      </c>
      <c r="F172" s="367">
        <v>44827</v>
      </c>
      <c r="G172" s="544">
        <v>75000</v>
      </c>
    </row>
    <row r="173" spans="1:7" s="23" customFormat="1" ht="22.5" x14ac:dyDescent="0.25">
      <c r="A173" s="952"/>
      <c r="B173" s="382" t="s">
        <v>245</v>
      </c>
      <c r="C173" s="380" t="s">
        <v>537</v>
      </c>
      <c r="D173" s="381">
        <v>66541</v>
      </c>
      <c r="E173" s="385">
        <v>44546</v>
      </c>
      <c r="F173" s="367">
        <v>44848</v>
      </c>
      <c r="G173" s="544">
        <v>735000</v>
      </c>
    </row>
    <row r="174" spans="1:7" s="23" customFormat="1" ht="33.75" x14ac:dyDescent="0.25">
      <c r="A174" s="952"/>
      <c r="B174" s="382" t="s">
        <v>540</v>
      </c>
      <c r="C174" s="380" t="s">
        <v>577</v>
      </c>
      <c r="D174" s="381">
        <v>68062</v>
      </c>
      <c r="E174" s="385">
        <v>44537</v>
      </c>
      <c r="F174" s="367">
        <v>44937</v>
      </c>
      <c r="G174" s="544">
        <v>660000</v>
      </c>
    </row>
    <row r="175" spans="1:7" s="23" customFormat="1" ht="22.5" x14ac:dyDescent="0.25">
      <c r="A175" s="952"/>
      <c r="B175" s="382" t="s">
        <v>540</v>
      </c>
      <c r="C175" s="380" t="s">
        <v>542</v>
      </c>
      <c r="D175" s="381">
        <v>69341</v>
      </c>
      <c r="E175" s="385">
        <v>44889</v>
      </c>
      <c r="F175" s="385">
        <v>44908</v>
      </c>
      <c r="G175" s="544">
        <v>149700</v>
      </c>
    </row>
    <row r="176" spans="1:7" s="23" customFormat="1" ht="45" x14ac:dyDescent="0.25">
      <c r="A176" s="952"/>
      <c r="B176" s="382" t="s">
        <v>540</v>
      </c>
      <c r="C176" s="380" t="s">
        <v>543</v>
      </c>
      <c r="D176" s="381">
        <v>69302</v>
      </c>
      <c r="E176" s="385">
        <v>44889</v>
      </c>
      <c r="F176" s="385">
        <v>44906</v>
      </c>
      <c r="G176" s="544">
        <v>314232</v>
      </c>
    </row>
    <row r="177" spans="1:7" s="23" customFormat="1" ht="22.5" x14ac:dyDescent="0.25">
      <c r="A177" s="952"/>
      <c r="B177" s="382" t="s">
        <v>541</v>
      </c>
      <c r="C177" s="380" t="s">
        <v>542</v>
      </c>
      <c r="D177" s="381">
        <v>69601</v>
      </c>
      <c r="E177" s="385">
        <v>44896</v>
      </c>
      <c r="F177" s="385">
        <v>44906</v>
      </c>
      <c r="G177" s="544">
        <v>20000</v>
      </c>
    </row>
    <row r="178" spans="1:7" s="23" customFormat="1" ht="33.75" x14ac:dyDescent="0.25">
      <c r="A178" s="952"/>
      <c r="B178" s="382" t="s">
        <v>238</v>
      </c>
      <c r="C178" s="380" t="s">
        <v>377</v>
      </c>
      <c r="D178" s="381">
        <v>78181</v>
      </c>
      <c r="E178" s="385">
        <v>45316</v>
      </c>
      <c r="F178" s="385">
        <v>45352</v>
      </c>
      <c r="G178" s="544">
        <v>500000</v>
      </c>
    </row>
    <row r="179" spans="1:7" s="23" customFormat="1" ht="22.5" x14ac:dyDescent="0.25">
      <c r="A179" s="952"/>
      <c r="B179" s="382" t="s">
        <v>242</v>
      </c>
      <c r="C179" s="380" t="s">
        <v>608</v>
      </c>
      <c r="D179" s="381">
        <v>78364</v>
      </c>
      <c r="E179" s="385">
        <v>45323</v>
      </c>
      <c r="F179" s="385">
        <v>45359</v>
      </c>
      <c r="G179" s="544">
        <v>200000</v>
      </c>
    </row>
    <row r="180" spans="1:7" s="23" customFormat="1" ht="22.5" x14ac:dyDescent="0.25">
      <c r="A180" s="952"/>
      <c r="B180" s="382" t="s">
        <v>541</v>
      </c>
      <c r="C180" s="380" t="s">
        <v>609</v>
      </c>
      <c r="D180" s="381">
        <v>78381</v>
      </c>
      <c r="E180" s="385">
        <v>45323</v>
      </c>
      <c r="F180" s="385">
        <v>45359</v>
      </c>
      <c r="G180" s="544">
        <v>200000</v>
      </c>
    </row>
    <row r="181" spans="1:7" s="23" customFormat="1" x14ac:dyDescent="0.25">
      <c r="A181" s="953" t="s">
        <v>278</v>
      </c>
      <c r="B181" s="382" t="s">
        <v>245</v>
      </c>
      <c r="C181" s="380" t="s">
        <v>430</v>
      </c>
      <c r="D181" s="381">
        <v>38362</v>
      </c>
      <c r="E181" s="385">
        <v>43815</v>
      </c>
      <c r="F181" s="367">
        <v>44043</v>
      </c>
      <c r="G181" s="544">
        <v>428475.25</v>
      </c>
    </row>
    <row r="182" spans="1:7" s="23" customFormat="1" ht="33.75" x14ac:dyDescent="0.25">
      <c r="A182" s="953"/>
      <c r="B182" s="382" t="s">
        <v>242</v>
      </c>
      <c r="C182" s="383" t="s">
        <v>492</v>
      </c>
      <c r="D182" s="381">
        <v>41341</v>
      </c>
      <c r="E182" s="385">
        <v>43885</v>
      </c>
      <c r="F182" s="367">
        <v>44089</v>
      </c>
      <c r="G182" s="544">
        <v>40888.679999999993</v>
      </c>
    </row>
    <row r="183" spans="1:7" s="23" customFormat="1" ht="22.5" x14ac:dyDescent="0.25">
      <c r="A183" s="953"/>
      <c r="B183" s="397" t="s">
        <v>540</v>
      </c>
      <c r="C183" s="380" t="s">
        <v>431</v>
      </c>
      <c r="D183" s="381">
        <v>41442</v>
      </c>
      <c r="E183" s="385">
        <v>43885</v>
      </c>
      <c r="F183" s="367">
        <v>44089</v>
      </c>
      <c r="G183" s="544">
        <v>40602.1</v>
      </c>
    </row>
    <row r="184" spans="1:7" s="23" customFormat="1" ht="45" x14ac:dyDescent="0.25">
      <c r="A184" s="953"/>
      <c r="B184" s="397" t="s">
        <v>540</v>
      </c>
      <c r="C184" s="380" t="s">
        <v>432</v>
      </c>
      <c r="D184" s="381">
        <v>41561</v>
      </c>
      <c r="E184" s="385">
        <v>43885</v>
      </c>
      <c r="F184" s="367">
        <v>44089</v>
      </c>
      <c r="G184" s="544">
        <v>20139</v>
      </c>
    </row>
    <row r="185" spans="1:7" s="23" customFormat="1" ht="33.75" x14ac:dyDescent="0.25">
      <c r="A185" s="953"/>
      <c r="B185" s="397" t="s">
        <v>540</v>
      </c>
      <c r="C185" s="380" t="s">
        <v>433</v>
      </c>
      <c r="D185" s="381">
        <v>41644</v>
      </c>
      <c r="E185" s="385">
        <v>43885</v>
      </c>
      <c r="F185" s="367">
        <v>44089</v>
      </c>
      <c r="G185" s="544">
        <v>0</v>
      </c>
    </row>
    <row r="186" spans="1:7" s="23" customFormat="1" ht="45" x14ac:dyDescent="0.25">
      <c r="A186" s="953"/>
      <c r="B186" s="382" t="s">
        <v>541</v>
      </c>
      <c r="C186" s="380" t="s">
        <v>434</v>
      </c>
      <c r="D186" s="381">
        <v>41721</v>
      </c>
      <c r="E186" s="385">
        <v>43885</v>
      </c>
      <c r="F186" s="367">
        <v>44089</v>
      </c>
      <c r="G186" s="544">
        <v>124866.15000000001</v>
      </c>
    </row>
    <row r="187" spans="1:7" s="23" customFormat="1" ht="33.75" x14ac:dyDescent="0.25">
      <c r="A187" s="953"/>
      <c r="B187" s="382" t="s">
        <v>365</v>
      </c>
      <c r="C187" s="545" t="s">
        <v>493</v>
      </c>
      <c r="D187" s="381">
        <v>67282</v>
      </c>
      <c r="E187" s="385">
        <v>44819</v>
      </c>
      <c r="F187" s="367">
        <v>44900</v>
      </c>
      <c r="G187" s="546">
        <v>173502.19</v>
      </c>
    </row>
    <row r="188" spans="1:7" s="23" customFormat="1" ht="33.75" x14ac:dyDescent="0.25">
      <c r="A188" s="953"/>
      <c r="B188" s="382" t="s">
        <v>245</v>
      </c>
      <c r="C188" s="380" t="s">
        <v>560</v>
      </c>
      <c r="D188" s="381">
        <v>72243</v>
      </c>
      <c r="E188" s="367">
        <v>45023</v>
      </c>
      <c r="F188" s="367">
        <v>45114</v>
      </c>
      <c r="G188" s="544">
        <v>1000000</v>
      </c>
    </row>
    <row r="189" spans="1:7" s="23" customFormat="1" ht="45" x14ac:dyDescent="0.25">
      <c r="A189" s="953"/>
      <c r="B189" s="382" t="s">
        <v>275</v>
      </c>
      <c r="C189" s="380" t="s">
        <v>603</v>
      </c>
      <c r="D189" s="381">
        <v>78265</v>
      </c>
      <c r="E189" s="385">
        <v>45327</v>
      </c>
      <c r="F189" s="367">
        <v>45362</v>
      </c>
      <c r="G189" s="544">
        <v>70477.55</v>
      </c>
    </row>
    <row r="190" spans="1:7" s="23" customFormat="1" ht="33.75" x14ac:dyDescent="0.25">
      <c r="A190" s="953"/>
      <c r="B190" s="382" t="s">
        <v>151</v>
      </c>
      <c r="C190" s="380" t="s">
        <v>607</v>
      </c>
      <c r="D190" s="381">
        <v>78268</v>
      </c>
      <c r="E190" s="385">
        <v>45327</v>
      </c>
      <c r="F190" s="367">
        <v>45362</v>
      </c>
      <c r="G190" s="544">
        <v>119038.9</v>
      </c>
    </row>
    <row r="191" spans="1:7" s="23" customFormat="1" ht="33.75" x14ac:dyDescent="0.25">
      <c r="A191" s="953"/>
      <c r="B191" s="382" t="s">
        <v>151</v>
      </c>
      <c r="C191" s="380" t="s">
        <v>604</v>
      </c>
      <c r="D191" s="381">
        <v>78301</v>
      </c>
      <c r="E191" s="385">
        <v>45327</v>
      </c>
      <c r="F191" s="367">
        <v>45362</v>
      </c>
      <c r="G191" s="544">
        <v>316000</v>
      </c>
    </row>
    <row r="192" spans="1:7" s="23" customFormat="1" ht="33.75" x14ac:dyDescent="0.25">
      <c r="A192" s="953"/>
      <c r="B192" s="382" t="s">
        <v>151</v>
      </c>
      <c r="C192" s="380" t="s">
        <v>605</v>
      </c>
      <c r="D192" s="381">
        <v>78303</v>
      </c>
      <c r="E192" s="385">
        <v>45327</v>
      </c>
      <c r="F192" s="367">
        <v>45362</v>
      </c>
      <c r="G192" s="544">
        <v>158528.98000000001</v>
      </c>
    </row>
    <row r="193" spans="1:7" s="23" customFormat="1" ht="33.75" x14ac:dyDescent="0.25">
      <c r="A193" s="953"/>
      <c r="B193" s="382" t="s">
        <v>151</v>
      </c>
      <c r="C193" s="380" t="s">
        <v>606</v>
      </c>
      <c r="D193" s="381">
        <v>78304</v>
      </c>
      <c r="E193" s="385">
        <v>45327</v>
      </c>
      <c r="F193" s="367">
        <v>45362</v>
      </c>
      <c r="G193" s="544">
        <v>158000</v>
      </c>
    </row>
    <row r="194" spans="1:7" s="23" customFormat="1" ht="56.25" x14ac:dyDescent="0.25">
      <c r="A194" s="952" t="s">
        <v>354</v>
      </c>
      <c r="B194" s="382" t="s">
        <v>63</v>
      </c>
      <c r="C194" s="380" t="s">
        <v>438</v>
      </c>
      <c r="D194" s="381">
        <v>31326</v>
      </c>
      <c r="E194" s="385">
        <v>43657</v>
      </c>
      <c r="F194" s="367">
        <v>43819.999988425923</v>
      </c>
      <c r="G194" s="544">
        <v>443715</v>
      </c>
    </row>
    <row r="195" spans="1:7" s="23" customFormat="1" ht="22.5" x14ac:dyDescent="0.25">
      <c r="A195" s="952"/>
      <c r="B195" s="382" t="s">
        <v>63</v>
      </c>
      <c r="C195" s="380" t="s">
        <v>439</v>
      </c>
      <c r="D195" s="381">
        <v>32565</v>
      </c>
      <c r="E195" s="385">
        <v>43734</v>
      </c>
      <c r="F195" s="367">
        <v>44161</v>
      </c>
      <c r="G195" s="544">
        <v>300000</v>
      </c>
    </row>
    <row r="196" spans="1:7" s="23" customFormat="1" ht="45" x14ac:dyDescent="0.25">
      <c r="A196" s="952"/>
      <c r="B196" s="382" t="s">
        <v>242</v>
      </c>
      <c r="C196" s="380" t="s">
        <v>440</v>
      </c>
      <c r="D196" s="381">
        <v>36701</v>
      </c>
      <c r="E196" s="385">
        <v>43776</v>
      </c>
      <c r="F196" s="367">
        <v>43893</v>
      </c>
      <c r="G196" s="544">
        <v>1102537.9099999999</v>
      </c>
    </row>
    <row r="197" spans="1:7" s="23" customFormat="1" ht="56.25" x14ac:dyDescent="0.25">
      <c r="A197" s="952"/>
      <c r="B197" s="382" t="s">
        <v>616</v>
      </c>
      <c r="C197" s="380" t="s">
        <v>617</v>
      </c>
      <c r="D197" s="381" t="s">
        <v>618</v>
      </c>
      <c r="E197" s="385">
        <v>44497</v>
      </c>
      <c r="F197" s="367">
        <v>45473</v>
      </c>
      <c r="G197" s="537" t="s">
        <v>674</v>
      </c>
    </row>
    <row r="198" spans="1:7" s="23" customFormat="1" ht="56.25" x14ac:dyDescent="0.25">
      <c r="A198" s="952"/>
      <c r="B198" s="382" t="s">
        <v>151</v>
      </c>
      <c r="C198" s="380" t="s">
        <v>524</v>
      </c>
      <c r="D198" s="381">
        <v>61707</v>
      </c>
      <c r="E198" s="385">
        <v>44574</v>
      </c>
      <c r="F198" s="367">
        <v>44742</v>
      </c>
      <c r="G198" s="544">
        <v>300000</v>
      </c>
    </row>
    <row r="199" spans="1:7" s="23" customFormat="1" ht="33.75" x14ac:dyDescent="0.25">
      <c r="A199" s="952"/>
      <c r="B199" s="382" t="s">
        <v>540</v>
      </c>
      <c r="C199" s="380" t="s">
        <v>561</v>
      </c>
      <c r="D199" s="381">
        <v>71102</v>
      </c>
      <c r="E199" s="385">
        <v>45029</v>
      </c>
      <c r="F199" s="367">
        <v>45092</v>
      </c>
      <c r="G199" s="544">
        <v>900000</v>
      </c>
    </row>
    <row r="200" spans="1:7" s="23" customFormat="1" ht="56.25" x14ac:dyDescent="0.25">
      <c r="A200" s="952"/>
      <c r="B200" s="382" t="s">
        <v>63</v>
      </c>
      <c r="C200" s="380" t="s">
        <v>596</v>
      </c>
      <c r="D200" s="381">
        <v>75781</v>
      </c>
      <c r="E200" s="385">
        <v>45218</v>
      </c>
      <c r="F200" s="367">
        <v>45384</v>
      </c>
      <c r="G200" s="544">
        <v>150000</v>
      </c>
    </row>
    <row r="201" spans="1:7" s="23" customFormat="1" ht="67.5" x14ac:dyDescent="0.25">
      <c r="A201" s="952"/>
      <c r="B201" s="382" t="s">
        <v>273</v>
      </c>
      <c r="C201" s="380" t="s">
        <v>610</v>
      </c>
      <c r="D201" s="381">
        <v>78142</v>
      </c>
      <c r="E201" s="385">
        <v>45316</v>
      </c>
      <c r="F201" s="367">
        <v>45473</v>
      </c>
      <c r="G201" s="544">
        <v>600000</v>
      </c>
    </row>
    <row r="202" spans="1:7" s="23" customFormat="1" ht="22.5" x14ac:dyDescent="0.25">
      <c r="A202" s="952"/>
      <c r="B202" s="382" t="s">
        <v>245</v>
      </c>
      <c r="C202" s="380" t="s">
        <v>611</v>
      </c>
      <c r="D202" s="381">
        <v>78541</v>
      </c>
      <c r="E202" s="385">
        <v>45343</v>
      </c>
      <c r="F202" s="367">
        <v>45473</v>
      </c>
      <c r="G202" s="544">
        <v>400000</v>
      </c>
    </row>
    <row r="203" spans="1:7" s="23" customFormat="1" ht="33.75" x14ac:dyDescent="0.25">
      <c r="A203" s="952"/>
      <c r="B203" s="382" t="s">
        <v>540</v>
      </c>
      <c r="C203" s="380" t="s">
        <v>561</v>
      </c>
      <c r="D203" s="381">
        <v>79545</v>
      </c>
      <c r="E203" s="385">
        <v>45400</v>
      </c>
      <c r="F203" s="385">
        <v>45473</v>
      </c>
      <c r="G203" s="544">
        <v>448531.89</v>
      </c>
    </row>
    <row r="204" spans="1:7" s="23" customFormat="1" ht="22.5" x14ac:dyDescent="0.25">
      <c r="A204" s="952"/>
      <c r="B204" s="382" t="s">
        <v>616</v>
      </c>
      <c r="C204" s="380" t="s">
        <v>672</v>
      </c>
      <c r="D204" s="381">
        <v>82243</v>
      </c>
      <c r="E204" s="385">
        <v>45484.000011574077</v>
      </c>
      <c r="F204" s="367">
        <v>45504.999988425923</v>
      </c>
      <c r="G204" s="374">
        <v>2032005</v>
      </c>
    </row>
    <row r="205" spans="1:7" s="23" customFormat="1" ht="22.5" x14ac:dyDescent="0.25">
      <c r="A205" s="953" t="s">
        <v>279</v>
      </c>
      <c r="B205" s="382" t="s">
        <v>242</v>
      </c>
      <c r="C205" s="380" t="s">
        <v>435</v>
      </c>
      <c r="D205" s="381">
        <v>40461</v>
      </c>
      <c r="E205" s="385">
        <v>43879</v>
      </c>
      <c r="F205" s="367">
        <v>44073</v>
      </c>
      <c r="G205" s="544">
        <v>601729.67000000004</v>
      </c>
    </row>
    <row r="206" spans="1:7" s="23" customFormat="1" ht="22.5" x14ac:dyDescent="0.25">
      <c r="A206" s="953"/>
      <c r="B206" s="397" t="s">
        <v>540</v>
      </c>
      <c r="C206" s="380" t="s">
        <v>436</v>
      </c>
      <c r="D206" s="381">
        <v>40742</v>
      </c>
      <c r="E206" s="385">
        <v>43879</v>
      </c>
      <c r="F206" s="367">
        <v>44073</v>
      </c>
      <c r="G206" s="544">
        <v>269122.40000000002</v>
      </c>
    </row>
    <row r="207" spans="1:7" s="23" customFormat="1" ht="22.5" x14ac:dyDescent="0.25">
      <c r="A207" s="953"/>
      <c r="B207" s="382" t="s">
        <v>541</v>
      </c>
      <c r="C207" s="380" t="s">
        <v>437</v>
      </c>
      <c r="D207" s="381">
        <v>41041</v>
      </c>
      <c r="E207" s="385">
        <v>43879</v>
      </c>
      <c r="F207" s="367">
        <v>44073</v>
      </c>
      <c r="G207" s="544">
        <v>671362.16</v>
      </c>
    </row>
    <row r="208" spans="1:7" s="23" customFormat="1" ht="22.5" x14ac:dyDescent="0.25">
      <c r="A208" s="953"/>
      <c r="B208" s="382" t="s">
        <v>541</v>
      </c>
      <c r="C208" s="380" t="s">
        <v>301</v>
      </c>
      <c r="D208" s="381">
        <v>41062</v>
      </c>
      <c r="E208" s="385">
        <v>43879</v>
      </c>
      <c r="F208" s="367">
        <v>44073</v>
      </c>
      <c r="G208" s="544">
        <v>309485.85000000003</v>
      </c>
    </row>
    <row r="209" spans="1:7" s="23" customFormat="1" ht="45" x14ac:dyDescent="0.25">
      <c r="A209" s="953"/>
      <c r="B209" s="382" t="s">
        <v>275</v>
      </c>
      <c r="C209" s="380" t="s">
        <v>374</v>
      </c>
      <c r="D209" s="381">
        <v>52221</v>
      </c>
      <c r="E209" s="385">
        <v>44187</v>
      </c>
      <c r="F209" s="367">
        <v>44408</v>
      </c>
      <c r="G209" s="544">
        <v>399171.2</v>
      </c>
    </row>
    <row r="210" spans="1:7" s="23" customFormat="1" ht="22.5" x14ac:dyDescent="0.25">
      <c r="A210" s="953"/>
      <c r="B210" s="382" t="s">
        <v>236</v>
      </c>
      <c r="C210" s="380" t="s">
        <v>471</v>
      </c>
      <c r="D210" s="381">
        <v>59362</v>
      </c>
      <c r="E210" s="385">
        <v>44477</v>
      </c>
      <c r="F210" s="367">
        <v>44592</v>
      </c>
      <c r="G210" s="544">
        <v>645129.9</v>
      </c>
    </row>
    <row r="211" spans="1:7" s="23" customFormat="1" ht="22.5" x14ac:dyDescent="0.25">
      <c r="A211" s="953"/>
      <c r="B211" s="382" t="s">
        <v>365</v>
      </c>
      <c r="C211" s="380" t="s">
        <v>525</v>
      </c>
      <c r="D211" s="382">
        <v>66442</v>
      </c>
      <c r="E211" s="385">
        <v>44609</v>
      </c>
      <c r="F211" s="367">
        <v>44660</v>
      </c>
      <c r="G211" s="544">
        <v>275000</v>
      </c>
    </row>
    <row r="212" spans="1:7" s="23" customFormat="1" ht="56.25" x14ac:dyDescent="0.25">
      <c r="A212" s="953"/>
      <c r="B212" s="382" t="s">
        <v>63</v>
      </c>
      <c r="C212" s="380" t="s">
        <v>527</v>
      </c>
      <c r="D212" s="381">
        <v>69642</v>
      </c>
      <c r="E212" s="385">
        <v>44609</v>
      </c>
      <c r="F212" s="367">
        <v>44938</v>
      </c>
      <c r="G212" s="549">
        <v>250000</v>
      </c>
    </row>
    <row r="213" spans="1:7" s="23" customFormat="1" ht="45" x14ac:dyDescent="0.25">
      <c r="A213" s="953"/>
      <c r="B213" s="382" t="s">
        <v>365</v>
      </c>
      <c r="C213" s="380" t="s">
        <v>526</v>
      </c>
      <c r="D213" s="381">
        <v>69583</v>
      </c>
      <c r="E213" s="385">
        <v>44609</v>
      </c>
      <c r="F213" s="367">
        <v>44938</v>
      </c>
      <c r="G213" s="549">
        <v>249178.82</v>
      </c>
    </row>
    <row r="214" spans="1:7" s="23" customFormat="1" ht="33.75" x14ac:dyDescent="0.25">
      <c r="A214" s="953"/>
      <c r="B214" s="382" t="s">
        <v>151</v>
      </c>
      <c r="C214" s="380" t="s">
        <v>568</v>
      </c>
      <c r="D214" s="381">
        <v>71947</v>
      </c>
      <c r="E214" s="385">
        <v>44475</v>
      </c>
      <c r="F214" s="367">
        <v>45048</v>
      </c>
      <c r="G214" s="544">
        <v>293333</v>
      </c>
    </row>
    <row r="215" spans="1:7" s="23" customFormat="1" ht="45" x14ac:dyDescent="0.25">
      <c r="A215" s="953"/>
      <c r="B215" s="382" t="s">
        <v>151</v>
      </c>
      <c r="C215" s="380" t="s">
        <v>569</v>
      </c>
      <c r="D215" s="381">
        <v>72004</v>
      </c>
      <c r="E215" s="385">
        <v>44503</v>
      </c>
      <c r="F215" s="367">
        <v>45048</v>
      </c>
      <c r="G215" s="544">
        <v>250000</v>
      </c>
    </row>
    <row r="216" spans="1:7" s="23" customFormat="1" ht="22.5" x14ac:dyDescent="0.25">
      <c r="A216" s="953"/>
      <c r="B216" s="382" t="s">
        <v>242</v>
      </c>
      <c r="C216" s="380" t="s">
        <v>435</v>
      </c>
      <c r="D216" s="381">
        <v>78622</v>
      </c>
      <c r="E216" s="385">
        <v>45337</v>
      </c>
      <c r="F216" s="367">
        <v>45381</v>
      </c>
      <c r="G216" s="544">
        <v>160000</v>
      </c>
    </row>
    <row r="217" spans="1:7" s="23" customFormat="1" ht="22.5" x14ac:dyDescent="0.25">
      <c r="A217" s="953"/>
      <c r="B217" s="382" t="s">
        <v>541</v>
      </c>
      <c r="C217" s="380" t="s">
        <v>538</v>
      </c>
      <c r="D217" s="381">
        <v>78627</v>
      </c>
      <c r="E217" s="385">
        <v>45337</v>
      </c>
      <c r="F217" s="367">
        <v>45381</v>
      </c>
      <c r="G217" s="544">
        <v>54018.6</v>
      </c>
    </row>
    <row r="218" spans="1:7" s="23" customFormat="1" ht="56.25" x14ac:dyDescent="0.25">
      <c r="A218" s="953"/>
      <c r="B218" s="382" t="s">
        <v>63</v>
      </c>
      <c r="C218" s="380" t="s">
        <v>527</v>
      </c>
      <c r="D218" s="381">
        <v>78628</v>
      </c>
      <c r="E218" s="385">
        <v>45337</v>
      </c>
      <c r="F218" s="367">
        <v>45381</v>
      </c>
      <c r="G218" s="544">
        <v>150000</v>
      </c>
    </row>
    <row r="219" spans="1:7" s="23" customFormat="1" ht="22.5" x14ac:dyDescent="0.25">
      <c r="A219" s="953"/>
      <c r="B219" s="382" t="s">
        <v>541</v>
      </c>
      <c r="C219" s="380" t="s">
        <v>538</v>
      </c>
      <c r="D219" s="381">
        <v>78642</v>
      </c>
      <c r="E219" s="385">
        <v>45337</v>
      </c>
      <c r="F219" s="367">
        <v>45381</v>
      </c>
      <c r="G219" s="544">
        <v>70000</v>
      </c>
    </row>
    <row r="220" spans="1:7" s="23" customFormat="1" ht="22.9" customHeight="1" x14ac:dyDescent="0.25">
      <c r="A220" s="955" t="s">
        <v>128</v>
      </c>
      <c r="B220" s="956"/>
      <c r="C220" s="956"/>
      <c r="D220" s="956"/>
      <c r="E220" s="956"/>
      <c r="F220" s="957"/>
      <c r="G220" s="555">
        <f>SUM(G3:G219)</f>
        <v>74457722.12999998</v>
      </c>
    </row>
    <row r="222" spans="1:7" s="23" customFormat="1" ht="24" customHeight="1" x14ac:dyDescent="0.25">
      <c r="A222"/>
      <c r="B222"/>
      <c r="C222"/>
      <c r="D222"/>
      <c r="E222"/>
      <c r="F222"/>
      <c r="G222" s="192"/>
    </row>
    <row r="223" spans="1:7" s="23" customFormat="1" x14ac:dyDescent="0.25">
      <c r="A223"/>
      <c r="B223"/>
      <c r="C223"/>
      <c r="D223"/>
      <c r="E223"/>
      <c r="F223"/>
      <c r="G223" s="192"/>
    </row>
    <row r="224" spans="1:7" s="23" customFormat="1" x14ac:dyDescent="0.25">
      <c r="A224"/>
      <c r="B224"/>
      <c r="C224"/>
      <c r="D224"/>
      <c r="E224"/>
      <c r="F224"/>
      <c r="G224" s="192"/>
    </row>
    <row r="225" spans="1:7" s="23" customFormat="1" x14ac:dyDescent="0.25">
      <c r="A225"/>
      <c r="B225"/>
      <c r="C225"/>
      <c r="D225"/>
      <c r="E225"/>
      <c r="F225"/>
      <c r="G225" s="192"/>
    </row>
    <row r="226" spans="1:7" s="23" customFormat="1" x14ac:dyDescent="0.25">
      <c r="A226"/>
      <c r="B226"/>
      <c r="C226"/>
      <c r="D226"/>
      <c r="E226"/>
      <c r="F226"/>
      <c r="G226" s="192"/>
    </row>
    <row r="227" spans="1:7" s="23" customFormat="1" x14ac:dyDescent="0.25">
      <c r="A227"/>
      <c r="B227"/>
      <c r="C227"/>
      <c r="D227"/>
      <c r="E227"/>
      <c r="F227"/>
      <c r="G227" s="192"/>
    </row>
    <row r="228" spans="1:7" s="23" customFormat="1" x14ac:dyDescent="0.25">
      <c r="A228"/>
      <c r="B228"/>
      <c r="C228"/>
      <c r="D228"/>
      <c r="E228"/>
      <c r="F228"/>
      <c r="G228" s="192"/>
    </row>
    <row r="229" spans="1:7" s="23" customFormat="1" x14ac:dyDescent="0.25">
      <c r="A229"/>
      <c r="B229"/>
      <c r="C229"/>
      <c r="D229"/>
      <c r="E229"/>
      <c r="F229"/>
      <c r="G229" s="192"/>
    </row>
    <row r="230" spans="1:7" s="23" customFormat="1" x14ac:dyDescent="0.25">
      <c r="A230"/>
      <c r="B230"/>
      <c r="C230"/>
      <c r="D230"/>
      <c r="E230"/>
      <c r="F230"/>
      <c r="G230" s="192"/>
    </row>
    <row r="231" spans="1:7" s="23" customFormat="1" x14ac:dyDescent="0.25">
      <c r="A231"/>
      <c r="B231"/>
      <c r="C231"/>
      <c r="D231"/>
      <c r="E231"/>
      <c r="F231"/>
      <c r="G231" s="192"/>
    </row>
  </sheetData>
  <mergeCells count="19">
    <mergeCell ref="A168:A180"/>
    <mergeCell ref="A194:A204"/>
    <mergeCell ref="A181:A193"/>
    <mergeCell ref="A205:A219"/>
    <mergeCell ref="A220:F220"/>
    <mergeCell ref="A1:G1"/>
    <mergeCell ref="A3:A8"/>
    <mergeCell ref="A9:A21"/>
    <mergeCell ref="A22:A28"/>
    <mergeCell ref="A29:A41"/>
    <mergeCell ref="A115:A131"/>
    <mergeCell ref="A132:A140"/>
    <mergeCell ref="A141:A158"/>
    <mergeCell ref="A159:A167"/>
    <mergeCell ref="A42:A64"/>
    <mergeCell ref="A65:A81"/>
    <mergeCell ref="A82:A96"/>
    <mergeCell ref="A97:A106"/>
    <mergeCell ref="A107:A114"/>
  </mergeCells>
  <phoneticPr fontId="33" type="noConversion"/>
  <printOptions horizontalCentered="1"/>
  <pageMargins left="0.23622047244094491" right="0.23622047244094491" top="0.74803149606299213" bottom="0.74803149606299213" header="0.31496062992125984" footer="0.31496062992125984"/>
  <pageSetup paperSize="9" scale="51" orientation="portrait" r:id="rId1"/>
  <rowBreaks count="5" manualBreakCount="5">
    <brk id="41" max="16383" man="1"/>
    <brk id="81" max="16383" man="1"/>
    <brk id="114" max="16383" man="1"/>
    <brk id="158" max="16383" man="1"/>
    <brk id="19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9B149-1D9B-4EE4-A833-68A0AE00EF28}">
  <dimension ref="A1:E14"/>
  <sheetViews>
    <sheetView view="pageBreakPreview" zoomScaleNormal="100" zoomScaleSheetLayoutView="100" workbookViewId="0">
      <selection activeCell="D12" sqref="D12"/>
    </sheetView>
  </sheetViews>
  <sheetFormatPr defaultColWidth="9.140625" defaultRowHeight="14.25" x14ac:dyDescent="0.2"/>
  <cols>
    <col min="1" max="1" width="42.5703125" style="8" bestFit="1" customWidth="1"/>
    <col min="2" max="2" width="22.140625" style="8" customWidth="1"/>
    <col min="3" max="3" width="27" style="8" customWidth="1"/>
    <col min="4" max="4" width="18" style="8" bestFit="1" customWidth="1"/>
    <col min="5" max="5" width="12" style="8" bestFit="1" customWidth="1"/>
    <col min="6" max="16384" width="9.140625" style="8"/>
  </cols>
  <sheetData>
    <row r="1" spans="1:5" ht="15.75" x14ac:dyDescent="0.2">
      <c r="A1" s="963" t="s">
        <v>742</v>
      </c>
      <c r="B1" s="963"/>
      <c r="C1" s="963"/>
      <c r="D1" s="963"/>
      <c r="E1" s="963"/>
    </row>
    <row r="2" spans="1:5" ht="15" customHeight="1" x14ac:dyDescent="0.2"/>
    <row r="3" spans="1:5" customFormat="1" ht="27" customHeight="1" x14ac:dyDescent="0.25">
      <c r="A3" s="958" t="s">
        <v>249</v>
      </c>
      <c r="B3" s="46" t="s">
        <v>579</v>
      </c>
      <c r="C3" s="46" t="s">
        <v>716</v>
      </c>
      <c r="D3" s="961" t="s">
        <v>580</v>
      </c>
      <c r="E3" s="961" t="s">
        <v>581</v>
      </c>
    </row>
    <row r="4" spans="1:5" customFormat="1" ht="15" x14ac:dyDescent="0.25">
      <c r="A4" s="959"/>
      <c r="B4" s="46" t="s">
        <v>743</v>
      </c>
      <c r="C4" s="46" t="s">
        <v>744</v>
      </c>
      <c r="D4" s="962"/>
      <c r="E4" s="962"/>
    </row>
    <row r="5" spans="1:5" customFormat="1" ht="18" x14ac:dyDescent="0.25">
      <c r="A5" s="959"/>
      <c r="B5" s="603" t="s">
        <v>305</v>
      </c>
      <c r="C5" s="603" t="s">
        <v>306</v>
      </c>
      <c r="D5" s="603" t="s">
        <v>582</v>
      </c>
      <c r="E5" s="603" t="s">
        <v>583</v>
      </c>
    </row>
    <row r="6" spans="1:5" customFormat="1" ht="18" x14ac:dyDescent="0.25">
      <c r="A6" s="960"/>
      <c r="B6" s="604">
        <v>800189491.42999995</v>
      </c>
      <c r="C6" s="604">
        <f>'Avanzamento_ SP_FEASR'!I58</f>
        <v>695087433.07680023</v>
      </c>
      <c r="D6" s="604">
        <f>C6-B6</f>
        <v>-105102058.35319972</v>
      </c>
      <c r="E6" s="605">
        <f>C6/B6</f>
        <v>0.86865353834455605</v>
      </c>
    </row>
    <row r="9" spans="1:5" customFormat="1" ht="25.5" x14ac:dyDescent="0.25">
      <c r="A9" s="958" t="s">
        <v>745</v>
      </c>
      <c r="B9" s="46" t="s">
        <v>579</v>
      </c>
      <c r="C9" s="46" t="s">
        <v>716</v>
      </c>
      <c r="D9" s="961" t="s">
        <v>580</v>
      </c>
      <c r="E9" s="961" t="s">
        <v>581</v>
      </c>
    </row>
    <row r="10" spans="1:5" customFormat="1" ht="15" x14ac:dyDescent="0.25">
      <c r="A10" s="959"/>
      <c r="B10" s="46" t="s">
        <v>746</v>
      </c>
      <c r="C10" s="46" t="s">
        <v>747</v>
      </c>
      <c r="D10" s="962"/>
      <c r="E10" s="962"/>
    </row>
    <row r="11" spans="1:5" customFormat="1" ht="18" x14ac:dyDescent="0.25">
      <c r="A11" s="959"/>
      <c r="B11" s="603" t="s">
        <v>305</v>
      </c>
      <c r="C11" s="603" t="s">
        <v>306</v>
      </c>
      <c r="D11" s="603" t="s">
        <v>582</v>
      </c>
      <c r="E11" s="603" t="s">
        <v>583</v>
      </c>
    </row>
    <row r="12" spans="1:5" customFormat="1" ht="18" x14ac:dyDescent="0.25">
      <c r="A12" s="960"/>
      <c r="B12" s="606">
        <v>62231539</v>
      </c>
      <c r="C12" s="606">
        <f>'AVANZAMENTO EURI'!G8</f>
        <v>47994355.359999999</v>
      </c>
      <c r="D12" s="606">
        <f>C12-B12</f>
        <v>-14237183.640000001</v>
      </c>
      <c r="E12" s="607">
        <f>C12/B12</f>
        <v>0.77122237584386266</v>
      </c>
    </row>
    <row r="14" spans="1:5" ht="15" x14ac:dyDescent="0.25">
      <c r="C14" s="539"/>
    </row>
  </sheetData>
  <mergeCells count="7">
    <mergeCell ref="A9:A12"/>
    <mergeCell ref="D9:D10"/>
    <mergeCell ref="E9:E10"/>
    <mergeCell ref="A1:E1"/>
    <mergeCell ref="A3:A6"/>
    <mergeCell ref="D3:D4"/>
    <mergeCell ref="E3:E4"/>
  </mergeCells>
  <pageMargins left="0.7" right="0.7" top="0.75" bottom="0.75" header="0.3" footer="0.3"/>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41</vt:i4>
      </vt:variant>
      <vt:variant>
        <vt:lpstr>Intervalli denominati</vt:lpstr>
      </vt:variant>
      <vt:variant>
        <vt:i4>49</vt:i4>
      </vt:variant>
    </vt:vector>
  </HeadingPairs>
  <TitlesOfParts>
    <vt:vector size="90" baseType="lpstr">
      <vt:lpstr>Copertina</vt:lpstr>
      <vt:lpstr>Avanzamento_ SP_totale</vt:lpstr>
      <vt:lpstr>Avanzamento_ SP_FEASR</vt:lpstr>
      <vt:lpstr>AVANZAMENTO EURI</vt:lpstr>
      <vt:lpstr>AVANZAMENTO TOP UP</vt:lpstr>
      <vt:lpstr>Impegni PROGR 2014-2022</vt:lpstr>
      <vt:lpstr>Procedurale</vt:lpstr>
      <vt:lpstr>Procedurale bandi GAL</vt:lpstr>
      <vt:lpstr>N+3</vt:lpstr>
      <vt:lpstr> M01-M02</vt:lpstr>
      <vt:lpstr>M03</vt:lpstr>
      <vt:lpstr>PIF-MANIFESTAZIONI-DI INTERESSE</vt:lpstr>
      <vt:lpstr>M04</vt:lpstr>
      <vt:lpstr>M05</vt:lpstr>
      <vt:lpstr>M06</vt:lpstr>
      <vt:lpstr>M07</vt:lpstr>
      <vt:lpstr>M8_1</vt:lpstr>
      <vt:lpstr>M8.3-8.6</vt:lpstr>
      <vt:lpstr>M09</vt:lpstr>
      <vt:lpstr>M10.1 FEASR+EURI</vt:lpstr>
      <vt:lpstr>Dett. 10.1 FEASR+EURI+TOP UP</vt:lpstr>
      <vt:lpstr>M11</vt:lpstr>
      <vt:lpstr>Dettaglio M11 x bando</vt:lpstr>
      <vt:lpstr>M13</vt:lpstr>
      <vt:lpstr>M14</vt:lpstr>
      <vt:lpstr>M15</vt:lpstr>
      <vt:lpstr>M10.2</vt:lpstr>
      <vt:lpstr>M16</vt:lpstr>
      <vt:lpstr>M19</vt:lpstr>
      <vt:lpstr>M21</vt:lpstr>
      <vt:lpstr>Focus M19</vt:lpstr>
      <vt:lpstr>Focus M19.2</vt:lpstr>
      <vt:lpstr>GAL ANGLONA ROMANGIA</vt:lpstr>
      <vt:lpstr>GAL BARBAGIA_GAL BARIGADU</vt:lpstr>
      <vt:lpstr>GAL CAMPIDANO_GAL BMG</vt:lpstr>
      <vt:lpstr>GAL GALLURA_GAL LINAS</vt:lpstr>
      <vt:lpstr>GAL LOGUDORO_GAL MARGHINE</vt:lpstr>
      <vt:lpstr>GAL MARMILLA_GAL NUORESE B.</vt:lpstr>
      <vt:lpstr>GAL OGLIASTRA_GAL SARCIDANO</vt:lpstr>
      <vt:lpstr>GAL SGT_GAL SINIS</vt:lpstr>
      <vt:lpstr>GAL SULCIS_GAL TERRAS DE OLIA</vt:lpstr>
      <vt:lpstr>' M01-M02'!Area_stampa</vt:lpstr>
      <vt:lpstr>'AVANZAMENTO EURI'!Area_stampa</vt:lpstr>
      <vt:lpstr>'Avanzamento_ SP_FEASR'!Area_stampa</vt:lpstr>
      <vt:lpstr>'Avanzamento_ SP_totale'!Area_stampa</vt:lpstr>
      <vt:lpstr>Copertina!Area_stampa</vt:lpstr>
      <vt:lpstr>'Dett. 10.1 FEASR+EURI+TOP UP'!Area_stampa</vt:lpstr>
      <vt:lpstr>'Dettaglio M11 x bando'!Area_stampa</vt:lpstr>
      <vt:lpstr>'Focus M19.2'!Area_stampa</vt:lpstr>
      <vt:lpstr>'GAL ANGLONA ROMANGIA'!Area_stampa</vt:lpstr>
      <vt:lpstr>'GAL BARBAGIA_GAL BARIGADU'!Area_stampa</vt:lpstr>
      <vt:lpstr>'GAL CAMPIDANO_GAL BMG'!Area_stampa</vt:lpstr>
      <vt:lpstr>'GAL GALLURA_GAL LINAS'!Area_stampa</vt:lpstr>
      <vt:lpstr>'GAL LOGUDORO_GAL MARGHINE'!Area_stampa</vt:lpstr>
      <vt:lpstr>'GAL MARMILLA_GAL NUORESE B.'!Area_stampa</vt:lpstr>
      <vt:lpstr>'GAL OGLIASTRA_GAL SARCIDANO'!Area_stampa</vt:lpstr>
      <vt:lpstr>'GAL SGT_GAL SINIS'!Area_stampa</vt:lpstr>
      <vt:lpstr>'GAL SULCIS_GAL TERRAS DE OLIA'!Area_stampa</vt:lpstr>
      <vt:lpstr>'Impegni PROGR 2014-2022'!Area_stampa</vt:lpstr>
      <vt:lpstr>'M03'!Area_stampa</vt:lpstr>
      <vt:lpstr>'M04'!Area_stampa</vt:lpstr>
      <vt:lpstr>'M05'!Area_stampa</vt:lpstr>
      <vt:lpstr>'M06'!Area_stampa</vt:lpstr>
      <vt:lpstr>'M07'!Area_stampa</vt:lpstr>
      <vt:lpstr>'M09'!Area_stampa</vt:lpstr>
      <vt:lpstr>'M10.1 FEASR+EURI'!Area_stampa</vt:lpstr>
      <vt:lpstr>M10.2!Area_stampa</vt:lpstr>
      <vt:lpstr>'M11'!Area_stampa</vt:lpstr>
      <vt:lpstr>'M13'!Area_stampa</vt:lpstr>
      <vt:lpstr>'M14'!Area_stampa</vt:lpstr>
      <vt:lpstr>'M15'!Area_stampa</vt:lpstr>
      <vt:lpstr>'M16'!Area_stampa</vt:lpstr>
      <vt:lpstr>'M19'!Area_stampa</vt:lpstr>
      <vt:lpstr>'M21'!Area_stampa</vt:lpstr>
      <vt:lpstr>'M8.3-8.6'!Area_stampa</vt:lpstr>
      <vt:lpstr>M8_1!Area_stampa</vt:lpstr>
      <vt:lpstr>Procedurale!Area_stampa</vt:lpstr>
      <vt:lpstr>'Avanzamento_ SP_FEASR'!Titoli_stampa</vt:lpstr>
      <vt:lpstr>'Avanzamento_ SP_totale'!Titoli_stampa</vt:lpstr>
      <vt:lpstr>'Dettaglio M11 x bando'!Titoli_stampa</vt:lpstr>
      <vt:lpstr>'GAL MARMILLA_GAL NUORESE B.'!Titoli_stampa</vt:lpstr>
      <vt:lpstr>'Impegni PROGR 2014-2022'!Titoli_stampa</vt:lpstr>
      <vt:lpstr>'M10.1 FEASR+EURI'!Titoli_stampa</vt:lpstr>
      <vt:lpstr>'M11'!Titoli_stampa</vt:lpstr>
      <vt:lpstr>'M13'!Titoli_stampa</vt:lpstr>
      <vt:lpstr>'M14'!Titoli_stampa</vt:lpstr>
      <vt:lpstr>'M15'!Titoli_stampa</vt:lpstr>
      <vt:lpstr>M8_1!Titoli_stampa</vt:lpstr>
      <vt:lpstr>Procedurale!Titoli_stampa</vt:lpstr>
      <vt:lpstr>'Procedurale bandi GAL'!Titoli_stampa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Stefania</dc:creator>
  <cp:lastModifiedBy>Maria Antonella Vacca</cp:lastModifiedBy>
  <cp:lastPrinted>2025-07-14T15:55:32Z</cp:lastPrinted>
  <dcterms:created xsi:type="dcterms:W3CDTF">2019-10-02T06:22:23Z</dcterms:created>
  <dcterms:modified xsi:type="dcterms:W3CDTF">2025-11-13T09:25:50Z</dcterms:modified>
</cp:coreProperties>
</file>